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showInkAnnotation="0" autoCompressPictures="0"/>
  <bookViews>
    <workbookView xWindow="0" yWindow="0" windowWidth="28800" windowHeight="16260" tabRatio="922" firstSheet="1" activeTab="11"/>
  </bookViews>
  <sheets>
    <sheet name="Описание" sheetId="19" r:id="rId1"/>
    <sheet name="Исходные данные" sheetId="20" r:id="rId2"/>
    <sheet name="Монтаж" sheetId="12" r:id="rId3"/>
    <sheet name="Строительство" sheetId="13" r:id="rId4"/>
    <sheet name="Всего инвестиции на БГУ" sheetId="15" r:id="rId5"/>
    <sheet name="Ресурсы БГУ" sheetId="17" r:id="rId6"/>
    <sheet name="Кредит" sheetId="4" r:id="rId7"/>
    <sheet name="Текущие затраты на БГУ" sheetId="3" r:id="rId8"/>
    <sheet name="Выгоды" sheetId="2" r:id="rId9"/>
    <sheet name="экон. эффект от БГУ" sheetId="16" r:id="rId10"/>
    <sheet name="доходы и расходы" sheetId="23" r:id="rId11"/>
    <sheet name="Итог денпоток" sheetId="22" r:id="rId1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1" i="23" l="1"/>
  <c r="C80" i="23"/>
  <c r="C79" i="23"/>
  <c r="D13" i="23"/>
  <c r="E13" i="23"/>
  <c r="G13" i="23"/>
  <c r="D12" i="23"/>
  <c r="E12" i="23"/>
  <c r="G12" i="23"/>
  <c r="D11" i="23"/>
  <c r="E11" i="23"/>
  <c r="G11" i="23"/>
  <c r="E5" i="22"/>
  <c r="E6" i="22"/>
  <c r="E7" i="22"/>
  <c r="E8" i="22"/>
  <c r="E9" i="22"/>
  <c r="E4" i="22"/>
  <c r="D5" i="22"/>
  <c r="D6" i="22"/>
  <c r="D7" i="22"/>
  <c r="D8" i="22"/>
  <c r="D9" i="22"/>
  <c r="D4" i="22"/>
  <c r="E11" i="22"/>
  <c r="E12" i="22"/>
  <c r="E13" i="22"/>
  <c r="E14" i="22"/>
  <c r="E15" i="22"/>
  <c r="E16" i="22"/>
  <c r="E17" i="22"/>
  <c r="E18" i="22"/>
  <c r="E19" i="22"/>
  <c r="E20" i="22"/>
  <c r="E10" i="22"/>
  <c r="D11" i="22"/>
  <c r="D12" i="22"/>
  <c r="D13" i="22"/>
  <c r="D14" i="22"/>
  <c r="D15" i="22"/>
  <c r="D16" i="22"/>
  <c r="D17" i="22"/>
  <c r="D18" i="22"/>
  <c r="D19" i="22"/>
  <c r="D20" i="22"/>
  <c r="D10" i="22"/>
  <c r="E22" i="22"/>
  <c r="E23" i="22"/>
  <c r="E21" i="22"/>
  <c r="D22" i="22"/>
  <c r="D23" i="22"/>
  <c r="D21" i="22"/>
  <c r="E24" i="22"/>
  <c r="D24" i="22"/>
  <c r="E26" i="22"/>
  <c r="E81" i="23"/>
  <c r="E27" i="22"/>
  <c r="E28" i="22"/>
  <c r="E25" i="22"/>
  <c r="D26" i="22"/>
  <c r="E80" i="23"/>
  <c r="D27" i="22"/>
  <c r="D28" i="22"/>
  <c r="D25" i="22"/>
  <c r="E29" i="22"/>
  <c r="D29" i="22"/>
  <c r="C5" i="22"/>
  <c r="C6" i="22"/>
  <c r="C7" i="22"/>
  <c r="C8" i="22"/>
  <c r="C9" i="22"/>
  <c r="C4" i="22"/>
  <c r="C11" i="22"/>
  <c r="C12" i="22"/>
  <c r="C13" i="22"/>
  <c r="C14" i="22"/>
  <c r="C15" i="22"/>
  <c r="C16" i="22"/>
  <c r="C17" i="22"/>
  <c r="C18" i="22"/>
  <c r="C19" i="22"/>
  <c r="C20" i="22"/>
  <c r="C10" i="22"/>
  <c r="C22" i="22"/>
  <c r="C23" i="22"/>
  <c r="C21" i="22"/>
  <c r="C24" i="22"/>
  <c r="C26" i="22"/>
  <c r="E79" i="23"/>
  <c r="C27" i="22"/>
  <c r="C28" i="22"/>
  <c r="C25" i="22"/>
  <c r="C29" i="22"/>
  <c r="E57" i="23"/>
  <c r="D57" i="23"/>
  <c r="F57" i="23"/>
  <c r="F58" i="23"/>
  <c r="E58" i="23"/>
  <c r="D58" i="23"/>
  <c r="C58" i="23"/>
  <c r="C57" i="23"/>
  <c r="C7" i="23"/>
  <c r="D7" i="23"/>
  <c r="E7" i="23"/>
  <c r="F5" i="23"/>
  <c r="F6" i="23"/>
  <c r="F7" i="23"/>
  <c r="G7" i="23"/>
  <c r="C13" i="23"/>
  <c r="F11" i="23"/>
  <c r="F12" i="23"/>
  <c r="F13" i="23"/>
  <c r="C19" i="23"/>
  <c r="H25" i="2"/>
  <c r="D19" i="23"/>
  <c r="E19" i="23"/>
  <c r="D23" i="2"/>
  <c r="D24" i="2"/>
  <c r="D25" i="2"/>
  <c r="F19" i="23"/>
  <c r="G19" i="23"/>
  <c r="C25" i="23"/>
  <c r="H33" i="2"/>
  <c r="D25" i="23"/>
  <c r="E25" i="23"/>
  <c r="D31" i="2"/>
  <c r="D32" i="2"/>
  <c r="D33" i="2"/>
  <c r="F25" i="23"/>
  <c r="G25" i="23"/>
  <c r="C6" i="23"/>
  <c r="D6" i="23"/>
  <c r="E6" i="23"/>
  <c r="G6" i="23"/>
  <c r="C12" i="23"/>
  <c r="C18" i="23"/>
  <c r="H24" i="2"/>
  <c r="D18" i="23"/>
  <c r="E18" i="23"/>
  <c r="F18" i="23"/>
  <c r="G18" i="23"/>
  <c r="C24" i="23"/>
  <c r="H32" i="2"/>
  <c r="D24" i="23"/>
  <c r="E24" i="23"/>
  <c r="F24" i="23"/>
  <c r="G24" i="23"/>
  <c r="C5" i="23"/>
  <c r="D5" i="23"/>
  <c r="E5" i="23"/>
  <c r="G5" i="23"/>
  <c r="C11" i="23"/>
  <c r="C17" i="23"/>
  <c r="H23" i="2"/>
  <c r="D17" i="23"/>
  <c r="E17" i="23"/>
  <c r="F17" i="23"/>
  <c r="G17" i="23"/>
  <c r="C23" i="23"/>
  <c r="H31" i="2"/>
  <c r="D23" i="23"/>
  <c r="E23" i="23"/>
  <c r="F23" i="23"/>
  <c r="G23" i="23"/>
  <c r="C54" i="23"/>
  <c r="D54" i="23"/>
  <c r="E54" i="23"/>
  <c r="F54" i="23"/>
  <c r="C55" i="23"/>
  <c r="D55" i="23"/>
  <c r="E55" i="23"/>
  <c r="F55" i="23"/>
  <c r="D5" i="17"/>
  <c r="C5" i="17"/>
  <c r="E5" i="17"/>
  <c r="G5" i="17"/>
  <c r="H5" i="17"/>
  <c r="I5" i="17"/>
  <c r="C41" i="2"/>
  <c r="D41" i="2"/>
  <c r="C56" i="23"/>
  <c r="D56" i="23"/>
  <c r="E56" i="23"/>
  <c r="F56" i="23"/>
  <c r="C37" i="23"/>
  <c r="D37" i="23"/>
  <c r="E37" i="23"/>
  <c r="F37" i="23"/>
  <c r="C38" i="23"/>
  <c r="D38" i="23"/>
  <c r="E38" i="23"/>
  <c r="F38" i="23"/>
  <c r="C39" i="23"/>
  <c r="D39" i="23"/>
  <c r="E39" i="23"/>
  <c r="F39" i="23"/>
  <c r="C40" i="23"/>
  <c r="D40" i="23"/>
  <c r="E40" i="23"/>
  <c r="F40" i="23"/>
  <c r="C41" i="23"/>
  <c r="D41" i="23"/>
  <c r="E41" i="23"/>
  <c r="F41" i="23"/>
  <c r="F42" i="23"/>
  <c r="E42" i="23"/>
  <c r="D42" i="23"/>
  <c r="C42" i="23"/>
  <c r="C46" i="23"/>
  <c r="D46" i="23"/>
  <c r="E46" i="23"/>
  <c r="F46" i="23"/>
  <c r="C47" i="23"/>
  <c r="D47" i="23"/>
  <c r="E47" i="23"/>
  <c r="F47" i="23"/>
  <c r="C48" i="23"/>
  <c r="D48" i="23"/>
  <c r="E48" i="23"/>
  <c r="F48" i="23"/>
  <c r="C49" i="23"/>
  <c r="D49" i="23"/>
  <c r="E49" i="23"/>
  <c r="F49" i="23"/>
  <c r="F50" i="23"/>
  <c r="E50" i="23"/>
  <c r="D50" i="23"/>
  <c r="C50" i="23"/>
  <c r="E26" i="23"/>
  <c r="E20" i="23"/>
  <c r="E14" i="23"/>
  <c r="D81" i="23"/>
  <c r="D80" i="23"/>
  <c r="D79" i="23"/>
  <c r="F27" i="22"/>
  <c r="C71" i="23"/>
  <c r="E71" i="23"/>
  <c r="F71" i="23"/>
  <c r="G71" i="23"/>
  <c r="C76" i="23"/>
  <c r="E76" i="23"/>
  <c r="F76" i="23"/>
  <c r="G76" i="23"/>
  <c r="C70" i="23"/>
  <c r="E70" i="23"/>
  <c r="F70" i="23"/>
  <c r="G70" i="23"/>
  <c r="C75" i="23"/>
  <c r="E75" i="23"/>
  <c r="F75" i="23"/>
  <c r="G75" i="23"/>
  <c r="C69" i="23"/>
  <c r="E69" i="23"/>
  <c r="F69" i="23"/>
  <c r="G69" i="23"/>
  <c r="C74" i="23"/>
  <c r="E74" i="23"/>
  <c r="F74" i="23"/>
  <c r="G74" i="23"/>
  <c r="F18" i="22"/>
  <c r="F17" i="22"/>
  <c r="C63" i="23"/>
  <c r="D63" i="23"/>
  <c r="E63" i="23"/>
  <c r="C64" i="23"/>
  <c r="D64" i="23"/>
  <c r="E64" i="23"/>
  <c r="E65" i="23"/>
  <c r="D65" i="23"/>
  <c r="C65" i="23"/>
  <c r="F65" i="23"/>
  <c r="F64" i="23"/>
  <c r="F63" i="23"/>
  <c r="E62" i="23"/>
  <c r="D62" i="23"/>
  <c r="C62" i="23"/>
  <c r="C13" i="2"/>
  <c r="C14" i="2"/>
  <c r="C15" i="2"/>
  <c r="D7" i="17"/>
  <c r="C7" i="17"/>
  <c r="E7" i="17"/>
  <c r="G7" i="17"/>
  <c r="H7" i="17"/>
  <c r="K7" i="17"/>
  <c r="L7" i="17"/>
  <c r="D15" i="2"/>
  <c r="E15" i="2"/>
  <c r="F15" i="2"/>
  <c r="G15" i="2"/>
  <c r="F6" i="16"/>
  <c r="F14" i="16"/>
  <c r="D6" i="17"/>
  <c r="C6" i="17"/>
  <c r="E6" i="17"/>
  <c r="G6" i="17"/>
  <c r="H6" i="17"/>
  <c r="K6" i="17"/>
  <c r="L6" i="17"/>
  <c r="D14" i="2"/>
  <c r="E14" i="2"/>
  <c r="F14" i="2"/>
  <c r="G14" i="2"/>
  <c r="E6" i="16"/>
  <c r="E14" i="16"/>
  <c r="K5" i="17"/>
  <c r="L5" i="17"/>
  <c r="D13" i="2"/>
  <c r="E13" i="2"/>
  <c r="F13" i="2"/>
  <c r="G13" i="2"/>
  <c r="D6" i="16"/>
  <c r="D14" i="16"/>
  <c r="F20" i="22"/>
  <c r="F16" i="22"/>
  <c r="F15" i="22"/>
  <c r="F31" i="23"/>
  <c r="E31" i="23"/>
  <c r="G31" i="23"/>
  <c r="B4" i="4"/>
  <c r="E9" i="4"/>
  <c r="C9" i="4"/>
  <c r="D9" i="4"/>
  <c r="E10" i="4"/>
  <c r="F30" i="23"/>
  <c r="E30" i="23"/>
  <c r="G30" i="23"/>
  <c r="D10" i="4"/>
  <c r="F29" i="23"/>
  <c r="E29" i="23"/>
  <c r="G29" i="23"/>
  <c r="C4" i="4"/>
  <c r="D4" i="4"/>
  <c r="C10" i="4"/>
  <c r="C86" i="23"/>
  <c r="D86" i="23"/>
  <c r="E86" i="23"/>
  <c r="F86" i="23"/>
  <c r="G86" i="23"/>
  <c r="C85" i="23"/>
  <c r="D85" i="23"/>
  <c r="E85" i="23"/>
  <c r="F85" i="23"/>
  <c r="G85" i="23"/>
  <c r="C84" i="23"/>
  <c r="D84" i="23"/>
  <c r="E84" i="23"/>
  <c r="F84" i="23"/>
  <c r="G84" i="23"/>
  <c r="D76" i="23"/>
  <c r="D75" i="23"/>
  <c r="D74" i="23"/>
  <c r="D71" i="23"/>
  <c r="D70" i="23"/>
  <c r="D69" i="23"/>
  <c r="C33" i="2"/>
  <c r="C32" i="2"/>
  <c r="C31" i="2"/>
  <c r="C25" i="2"/>
  <c r="C24" i="2"/>
  <c r="C23" i="2"/>
  <c r="G26" i="23"/>
  <c r="G20" i="23"/>
  <c r="G14" i="23"/>
  <c r="G8" i="23"/>
  <c r="F12" i="22"/>
  <c r="F5" i="22"/>
  <c r="F6" i="22"/>
  <c r="F7" i="22"/>
  <c r="F8" i="22"/>
  <c r="F9" i="22"/>
  <c r="F4" i="22"/>
  <c r="F29" i="22"/>
  <c r="F28" i="22"/>
  <c r="F26" i="22"/>
  <c r="F25" i="22"/>
  <c r="F24" i="22"/>
  <c r="F23" i="22"/>
  <c r="F22" i="22"/>
  <c r="F21" i="22"/>
  <c r="F19" i="22"/>
  <c r="F14" i="22"/>
  <c r="F13" i="22"/>
  <c r="F11" i="22"/>
  <c r="F10" i="22"/>
  <c r="G32" i="23"/>
  <c r="E32" i="23"/>
  <c r="J5" i="17"/>
  <c r="I7" i="17"/>
  <c r="I6" i="17"/>
  <c r="F5" i="17"/>
  <c r="E41" i="2"/>
  <c r="F41" i="2"/>
  <c r="G41" i="2"/>
  <c r="D10" i="16"/>
  <c r="E23" i="2"/>
  <c r="F23" i="2"/>
  <c r="G23" i="2"/>
  <c r="I23" i="2"/>
  <c r="D7" i="16"/>
  <c r="E31" i="2"/>
  <c r="F31" i="2"/>
  <c r="G31" i="2"/>
  <c r="I31" i="2"/>
  <c r="D8" i="16"/>
  <c r="D4" i="2"/>
  <c r="C4" i="2"/>
  <c r="E4" i="2"/>
  <c r="F4" i="2"/>
  <c r="G4" i="2"/>
  <c r="D9" i="16"/>
  <c r="D11" i="16"/>
  <c r="D15" i="16"/>
  <c r="C11" i="4"/>
  <c r="D16" i="16"/>
  <c r="D17" i="16"/>
  <c r="C42" i="2"/>
  <c r="D42" i="2"/>
  <c r="E42" i="2"/>
  <c r="F42" i="2"/>
  <c r="G42" i="2"/>
  <c r="E10" i="16"/>
  <c r="E24" i="2"/>
  <c r="F24" i="2"/>
  <c r="G24" i="2"/>
  <c r="I24" i="2"/>
  <c r="E7" i="16"/>
  <c r="E32" i="2"/>
  <c r="F32" i="2"/>
  <c r="G32" i="2"/>
  <c r="I32" i="2"/>
  <c r="E8" i="16"/>
  <c r="D5" i="2"/>
  <c r="C5" i="2"/>
  <c r="E5" i="2"/>
  <c r="F5" i="2"/>
  <c r="G5" i="2"/>
  <c r="E9" i="16"/>
  <c r="E11" i="16"/>
  <c r="E15" i="16"/>
  <c r="D11" i="4"/>
  <c r="E16" i="16"/>
  <c r="E17" i="16"/>
  <c r="C43" i="2"/>
  <c r="D43" i="2"/>
  <c r="E43" i="2"/>
  <c r="F43" i="2"/>
  <c r="G43" i="2"/>
  <c r="F10" i="16"/>
  <c r="E25" i="2"/>
  <c r="F25" i="2"/>
  <c r="G25" i="2"/>
  <c r="I25" i="2"/>
  <c r="F7" i="16"/>
  <c r="E33" i="2"/>
  <c r="F33" i="2"/>
  <c r="G33" i="2"/>
  <c r="I33" i="2"/>
  <c r="F8" i="16"/>
  <c r="D6" i="2"/>
  <c r="C6" i="2"/>
  <c r="E6" i="2"/>
  <c r="F6" i="2"/>
  <c r="G6" i="2"/>
  <c r="F9" i="16"/>
  <c r="F11" i="16"/>
  <c r="F15" i="16"/>
  <c r="E11" i="4"/>
  <c r="F16" i="16"/>
  <c r="F17" i="16"/>
  <c r="G18" i="16"/>
  <c r="G20" i="16"/>
  <c r="G19" i="16"/>
  <c r="D13" i="16"/>
  <c r="E13" i="16"/>
  <c r="F13" i="16"/>
  <c r="G16" i="2"/>
  <c r="J7" i="17"/>
  <c r="J6" i="17"/>
  <c r="F7" i="17"/>
  <c r="F6" i="17"/>
  <c r="G44" i="2"/>
  <c r="G62" i="12"/>
  <c r="G64" i="12"/>
  <c r="B3" i="15"/>
  <c r="G41" i="13"/>
  <c r="G45" i="13"/>
  <c r="G54" i="13"/>
  <c r="G59" i="13"/>
  <c r="G92" i="13"/>
  <c r="G95" i="13"/>
  <c r="G101" i="13"/>
  <c r="B4" i="15"/>
  <c r="B5" i="15"/>
  <c r="C5" i="3"/>
  <c r="D5" i="15"/>
  <c r="C12" i="3"/>
  <c r="C13" i="3"/>
  <c r="D12" i="16"/>
  <c r="E12" i="16"/>
  <c r="F12" i="16"/>
  <c r="G12" i="16"/>
  <c r="G14" i="16"/>
  <c r="G11" i="16"/>
  <c r="G13" i="16"/>
  <c r="G15" i="16"/>
  <c r="G5" i="12"/>
  <c r="G32" i="12"/>
  <c r="G8" i="16"/>
  <c r="G53" i="12"/>
  <c r="G54" i="12"/>
  <c r="G55" i="12"/>
  <c r="G57" i="12"/>
  <c r="G58" i="12"/>
  <c r="G7" i="16"/>
  <c r="G9" i="16"/>
  <c r="G10" i="16"/>
  <c r="G16" i="16"/>
  <c r="G17" i="16"/>
  <c r="G6" i="16"/>
  <c r="G7" i="2"/>
  <c r="E16" i="2"/>
  <c r="D16" i="2"/>
  <c r="F16" i="2"/>
  <c r="I34" i="2"/>
  <c r="H34" i="2"/>
  <c r="G34" i="2"/>
  <c r="I26" i="2"/>
  <c r="G26" i="2"/>
  <c r="F10" i="4"/>
  <c r="F9" i="4"/>
  <c r="F11" i="4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4" i="12"/>
  <c r="G35" i="12"/>
  <c r="G36" i="12"/>
  <c r="G37" i="12"/>
  <c r="G38" i="12"/>
  <c r="G40" i="12"/>
  <c r="G41" i="12"/>
  <c r="G43" i="12"/>
  <c r="G44" i="12"/>
  <c r="G45" i="12"/>
  <c r="G46" i="12"/>
  <c r="G47" i="12"/>
  <c r="G48" i="12"/>
  <c r="G51" i="12"/>
  <c r="G56" i="12"/>
  <c r="G5" i="13"/>
  <c r="G6" i="13"/>
  <c r="G7" i="13"/>
  <c r="G8" i="13"/>
  <c r="G9" i="13"/>
  <c r="G10" i="13"/>
  <c r="G11" i="13"/>
  <c r="G12" i="13"/>
  <c r="G14" i="13"/>
  <c r="G15" i="13"/>
  <c r="G17" i="13"/>
  <c r="G18" i="13"/>
  <c r="G19" i="13"/>
  <c r="G20" i="13"/>
  <c r="G21" i="13"/>
  <c r="G22" i="13"/>
  <c r="G24" i="13"/>
  <c r="G25" i="13"/>
  <c r="G26" i="13"/>
  <c r="G28" i="13"/>
  <c r="G29" i="13"/>
  <c r="G30" i="13"/>
  <c r="G31" i="13"/>
  <c r="G33" i="13"/>
  <c r="G34" i="13"/>
  <c r="G35" i="13"/>
  <c r="G37" i="13"/>
  <c r="G38" i="13"/>
  <c r="G39" i="13"/>
  <c r="G40" i="13"/>
  <c r="G42" i="13"/>
  <c r="G43" i="13"/>
  <c r="G44" i="13"/>
  <c r="G47" i="13"/>
  <c r="G48" i="13"/>
  <c r="G49" i="13"/>
  <c r="G50" i="13"/>
  <c r="G52" i="13"/>
  <c r="G53" i="13"/>
  <c r="G55" i="13"/>
  <c r="G56" i="13"/>
  <c r="G57" i="13"/>
  <c r="G58" i="13"/>
  <c r="G61" i="13"/>
  <c r="G62" i="13"/>
  <c r="G63" i="13"/>
  <c r="G65" i="13"/>
  <c r="G66" i="13"/>
  <c r="G67" i="13"/>
  <c r="G68" i="13"/>
  <c r="G69" i="13"/>
  <c r="G71" i="13"/>
  <c r="G72" i="13"/>
  <c r="G73" i="13"/>
  <c r="G74" i="13"/>
  <c r="G76" i="13"/>
  <c r="G77" i="13"/>
  <c r="G78" i="13"/>
  <c r="G79" i="13"/>
  <c r="G80" i="13"/>
  <c r="G81" i="13"/>
  <c r="G82" i="13"/>
  <c r="G83" i="13"/>
  <c r="G85" i="13"/>
  <c r="G86" i="13"/>
  <c r="G87" i="13"/>
  <c r="G88" i="13"/>
  <c r="G89" i="13"/>
  <c r="G91" i="13"/>
  <c r="G93" i="13"/>
  <c r="G94" i="13"/>
  <c r="G97" i="13"/>
  <c r="G99" i="13"/>
</calcChain>
</file>

<file path=xl/comments1.xml><?xml version="1.0" encoding="utf-8"?>
<comments xmlns="http://schemas.openxmlformats.org/spreadsheetml/2006/main">
  <authors>
    <author>Davron Niyazmetov</author>
  </authors>
  <commentList>
    <comment ref="B23" authorId="0">
      <text>
        <r>
          <rPr>
            <b/>
            <sz val="9"/>
            <color indexed="81"/>
            <rFont val="Calibri"/>
            <family val="2"/>
          </rPr>
          <t>Davron Niyazmetov:</t>
        </r>
        <r>
          <rPr>
            <sz val="9"/>
            <color indexed="81"/>
            <rFont val="Calibri"/>
            <family val="2"/>
          </rPr>
          <t xml:space="preserve">
"Животноводство в Узбекистане" 2010. стр. 86
Удельные нормы кормления 1 условной головы крс в среднем по республике и дифференцированные по регионам установлены МсвХ. На 1 условную голову крс требуется в среднем 15,5 т кормов, по регионам этот показатель колеблется в пределах 12,5-17,1 т, а в кормовых единицах составляет 42,1 ц корм. ед. по республике и 34,1-46,4 – по регионам.
</t>
        </r>
      </text>
    </comment>
    <comment ref="B29" authorId="0">
      <text>
        <r>
          <rPr>
            <b/>
            <sz val="9"/>
            <color indexed="81"/>
            <rFont val="Calibri"/>
            <family val="2"/>
          </rPr>
          <t>Davron Niyazmetov:</t>
        </r>
        <r>
          <rPr>
            <sz val="9"/>
            <color indexed="81"/>
            <rFont val="Calibri"/>
            <family val="2"/>
          </rPr>
          <t xml:space="preserve">
"Животноводство в Узбекистане" 2010. стр 72
Таблица 3.4. Размер стада КРС и показатели эффективности животноводческого хозяйства.</t>
        </r>
      </text>
    </comment>
    <comment ref="B97" authorId="0">
      <text>
        <r>
          <rPr>
            <b/>
            <sz val="9"/>
            <color indexed="81"/>
            <rFont val="Calibri"/>
            <family val="2"/>
          </rPr>
          <t>Davron Niyazmetov:</t>
        </r>
        <r>
          <rPr>
            <sz val="9"/>
            <color indexed="81"/>
            <rFont val="Calibri"/>
            <family val="2"/>
          </rPr>
          <t xml:space="preserve">
Для Ургенчского района, Хорезм 2012 г.</t>
        </r>
      </text>
    </comment>
  </commentList>
</comments>
</file>

<file path=xl/sharedStrings.xml><?xml version="1.0" encoding="utf-8"?>
<sst xmlns="http://schemas.openxmlformats.org/spreadsheetml/2006/main" count="983" uniqueCount="590">
  <si>
    <t>Затраты по монтажу БГУ</t>
  </si>
  <si>
    <t>№</t>
  </si>
  <si>
    <t>Наименование</t>
  </si>
  <si>
    <t>Едицица измерения</t>
  </si>
  <si>
    <t>Количество</t>
  </si>
  <si>
    <t>Цена за единицу,
сум</t>
  </si>
  <si>
    <t xml:space="preserve">Расходы,
сум </t>
  </si>
  <si>
    <t>Оборудование и комплектующие БГУ</t>
  </si>
  <si>
    <t>шт</t>
  </si>
  <si>
    <t>Ёмкости под газгольдеры 18 Атм</t>
  </si>
  <si>
    <t>Компрессор ИФ-56</t>
  </si>
  <si>
    <t>ГРПШ</t>
  </si>
  <si>
    <t>Кольца маслосъемные</t>
  </si>
  <si>
    <t>компл</t>
  </si>
  <si>
    <t>Водяной затвор</t>
  </si>
  <si>
    <t>Нагревательный котел</t>
  </si>
  <si>
    <t>Тен электрический</t>
  </si>
  <si>
    <t>Трубы 80</t>
  </si>
  <si>
    <t>п.м.</t>
  </si>
  <si>
    <t>Трубы 40</t>
  </si>
  <si>
    <t>Трубы 20</t>
  </si>
  <si>
    <t>Трубы 15</t>
  </si>
  <si>
    <t>Фланцы 80</t>
  </si>
  <si>
    <t>Отводы 80</t>
  </si>
  <si>
    <t>Задвижки 80</t>
  </si>
  <si>
    <t>Отводы 40</t>
  </si>
  <si>
    <t>Болты</t>
  </si>
  <si>
    <t>Болты и гайки М-12</t>
  </si>
  <si>
    <t>комп</t>
  </si>
  <si>
    <t>Болты и гайки М-14</t>
  </si>
  <si>
    <t>Анкера М-8</t>
  </si>
  <si>
    <t>Обратный клапан</t>
  </si>
  <si>
    <t>Краны газовые</t>
  </si>
  <si>
    <t>Аварийный клапан</t>
  </si>
  <si>
    <t>Манометр 10 Атм</t>
  </si>
  <si>
    <t>Манометр 25 Атм</t>
  </si>
  <si>
    <t>Манометр с электродатчиком</t>
  </si>
  <si>
    <t xml:space="preserve">Лоток ЛР-60 </t>
  </si>
  <si>
    <t>ИТОГО:</t>
  </si>
  <si>
    <t>Электрооборудование</t>
  </si>
  <si>
    <t>Кабель 4 кв</t>
  </si>
  <si>
    <t>м</t>
  </si>
  <si>
    <t>Плафон герметичный</t>
  </si>
  <si>
    <t>Розетки и выключатели</t>
  </si>
  <si>
    <t>Щит</t>
  </si>
  <si>
    <t>Автоматы</t>
  </si>
  <si>
    <t>Расходные материалы</t>
  </si>
  <si>
    <t>Газоэллектрогенератор</t>
  </si>
  <si>
    <t xml:space="preserve">Расходные материалы </t>
  </si>
  <si>
    <t>Подмотка уплотнительная</t>
  </si>
  <si>
    <t>Изолента</t>
  </si>
  <si>
    <t>Электроды</t>
  </si>
  <si>
    <t>кг</t>
  </si>
  <si>
    <t>Пропан</t>
  </si>
  <si>
    <t>Кислород</t>
  </si>
  <si>
    <t>баллон</t>
  </si>
  <si>
    <t>Карбид</t>
  </si>
  <si>
    <t xml:space="preserve">Сурик </t>
  </si>
  <si>
    <t>7 л</t>
  </si>
  <si>
    <t>Растворитель 646</t>
  </si>
  <si>
    <t>3 л</t>
  </si>
  <si>
    <t>Стоимость работ</t>
  </si>
  <si>
    <t>Монтажник</t>
  </si>
  <si>
    <t>чел</t>
  </si>
  <si>
    <t>Сварщик</t>
  </si>
  <si>
    <t>Электрик</t>
  </si>
  <si>
    <t>Подсобные рабочие</t>
  </si>
  <si>
    <t>Токарь</t>
  </si>
  <si>
    <t>Транспортные расходы</t>
  </si>
  <si>
    <t>Погрузочно-разгрузочные работы</t>
  </si>
  <si>
    <t>Доставка грузов</t>
  </si>
  <si>
    <t>Всего по монтажу БГУ:</t>
  </si>
  <si>
    <t>Затраты на строительство БГУ</t>
  </si>
  <si>
    <t>1.     Реактор</t>
  </si>
  <si>
    <t>Рытье котлована экскаватором</t>
  </si>
  <si>
    <t>М3</t>
  </si>
  <si>
    <t>Ручная доработка грунта</t>
  </si>
  <si>
    <t>Уплотнение грунта</t>
  </si>
  <si>
    <t>М2</t>
  </si>
  <si>
    <t>Устройство фундаментной подушки</t>
  </si>
  <si>
    <t>Устройство гидроизоляции и термоизоляции реактора</t>
  </si>
  <si>
    <t>Обратная засыпка грунта вручную</t>
  </si>
  <si>
    <t>Уплотнение грунта ручными трамбовками</t>
  </si>
  <si>
    <t>Устройство стяжки цементным раствором</t>
  </si>
  <si>
    <t>Материалы</t>
  </si>
  <si>
    <t>Битум</t>
  </si>
  <si>
    <t>Рубероид</t>
  </si>
  <si>
    <t>рулон</t>
  </si>
  <si>
    <t>Теплоизоляционный материал</t>
  </si>
  <si>
    <t>Цемент</t>
  </si>
  <si>
    <t>тонн</t>
  </si>
  <si>
    <t>Песок</t>
  </si>
  <si>
    <t>Тонн</t>
  </si>
  <si>
    <t>Гравий</t>
  </si>
  <si>
    <t>Плита 3х15</t>
  </si>
  <si>
    <t>Плита 3х3</t>
  </si>
  <si>
    <t>2.     Загрузочные и выгрузочные лотки</t>
  </si>
  <si>
    <t>Устройство основания под лоток</t>
  </si>
  <si>
    <t>Устройство фундамента под лоток</t>
  </si>
  <si>
    <t>Монтаж лотка на фундамент</t>
  </si>
  <si>
    <t>3.     Устройство фундамента обслуживающего помещения</t>
  </si>
  <si>
    <t>Устройство монолитных участков фундамента</t>
  </si>
  <si>
    <t>Гидроизоляция фундамента</t>
  </si>
  <si>
    <t>Обратная засыпка фундамента вручную</t>
  </si>
  <si>
    <t>Арматура</t>
  </si>
  <si>
    <t>пачки</t>
  </si>
  <si>
    <t>4.     Стены</t>
  </si>
  <si>
    <t>Кирпичная кладка стен</t>
  </si>
  <si>
    <t>Устройство дверных и оконных перемычек</t>
  </si>
  <si>
    <t>Штукатурка стен</t>
  </si>
  <si>
    <t>Устройство армосетки</t>
  </si>
  <si>
    <t>Кирпич жженый</t>
  </si>
  <si>
    <t>5. Полы</t>
  </si>
  <si>
    <t>Ручная доработка шагала</t>
  </si>
  <si>
    <t>Устройство бетонных полов</t>
  </si>
  <si>
    <t>Железнение полов</t>
  </si>
  <si>
    <t>6. Кровля</t>
  </si>
  <si>
    <t>Изготовление металлических ферм</t>
  </si>
  <si>
    <t>Монтаж металлических ферм</t>
  </si>
  <si>
    <t>Обшивка металлических ферм черепным брусом</t>
  </si>
  <si>
    <t>Устройство шиферной кровли</t>
  </si>
  <si>
    <t>лист</t>
  </si>
  <si>
    <t>Уголок 40х40</t>
  </si>
  <si>
    <t>Черепной брус</t>
  </si>
  <si>
    <t>Гвозди</t>
  </si>
  <si>
    <t>Шифер</t>
  </si>
  <si>
    <t>Доски</t>
  </si>
  <si>
    <t>7. Отделочные работы</t>
  </si>
  <si>
    <t>Подготовка стен под штукатурку</t>
  </si>
  <si>
    <t>Штукатурка стен цементным раствором</t>
  </si>
  <si>
    <t>Штукатурка откосов дверных и оконных</t>
  </si>
  <si>
    <t>Побелка стен известковым раствором</t>
  </si>
  <si>
    <t>Устройство бетонной отмостки</t>
  </si>
  <si>
    <t>Известь</t>
  </si>
  <si>
    <t>8. Двери</t>
  </si>
  <si>
    <t>Изготовление и установка двери</t>
  </si>
  <si>
    <t>9. Лестница</t>
  </si>
  <si>
    <t>Изготовление и установка металлической лестницы</t>
  </si>
  <si>
    <t>ВСЕГО ПО СТРОИТЕЛЬНЫМ МАТЕРИАЛАМ и РАБОТАМ:</t>
  </si>
  <si>
    <t>Затраты на оборудование и монтажные работы</t>
  </si>
  <si>
    <t>Затраты на строительные материалы и работы</t>
  </si>
  <si>
    <t>Период, год</t>
  </si>
  <si>
    <t>Экономия тепла (природный газ)</t>
  </si>
  <si>
    <t>Суммарный годовой доход</t>
  </si>
  <si>
    <t>Затраты, всего</t>
  </si>
  <si>
    <t>Прочие затраты</t>
  </si>
  <si>
    <t>Инвестиции</t>
  </si>
  <si>
    <t>Расчет выхода сырья и биогаза</t>
  </si>
  <si>
    <t>Суточный объем навоза
кг/сутки</t>
  </si>
  <si>
    <t>Годовой объем навоза
кг/год</t>
  </si>
  <si>
    <t>Показатели</t>
  </si>
  <si>
    <t>Единица измерения</t>
  </si>
  <si>
    <t>Экономия,
сум/га</t>
  </si>
  <si>
    <t>Примечание</t>
  </si>
  <si>
    <t>Норма внесения,
кг/га*</t>
  </si>
  <si>
    <t>Доход за счет увеличения урожайности культур при внесении биоудобрений</t>
  </si>
  <si>
    <t>Заправка, работа БГУ</t>
  </si>
  <si>
    <t>Наблюдение, осмотр и ремонт БГУ</t>
  </si>
  <si>
    <t>Хранение и внесение биоудобрений</t>
  </si>
  <si>
    <t>Распределение и использование биогаза</t>
  </si>
  <si>
    <t>Текущие операционные/эксплуатационные затраты в год</t>
  </si>
  <si>
    <t>Текущие/эксплуатационные расходы</t>
  </si>
  <si>
    <t>Стоимость,
сум</t>
  </si>
  <si>
    <t>Кредит,
сум</t>
  </si>
  <si>
    <t>Процентная ставка, 
%</t>
  </si>
  <si>
    <t>проценты</t>
  </si>
  <si>
    <t>Итого</t>
  </si>
  <si>
    <t>1 год</t>
  </si>
  <si>
    <t>2 год</t>
  </si>
  <si>
    <t>3 год</t>
  </si>
  <si>
    <t>Погашение кредита</t>
  </si>
  <si>
    <t>основной долг*</t>
  </si>
  <si>
    <t>* - с учетом льготного периода в 6 месяцев, когда основной долг погашается равномерно ежемесячно последующие 30 месяцев</t>
  </si>
  <si>
    <t>Реализация биоудобрений</t>
  </si>
  <si>
    <t>Стоимость,
сум/тонн*</t>
  </si>
  <si>
    <t>Всего тонн</t>
  </si>
  <si>
    <t>Доход,
сум</t>
  </si>
  <si>
    <t xml:space="preserve">  Всего,
сум</t>
  </si>
  <si>
    <t>Всего площадь,
га</t>
  </si>
  <si>
    <t>Всего дополнительный доход,
сум</t>
  </si>
  <si>
    <t>Дополнительный урожай,
кг/га</t>
  </si>
  <si>
    <t>Всего за 3 года</t>
  </si>
  <si>
    <t>Дополнительный доход,
сум/га</t>
  </si>
  <si>
    <t>Урожайность,
кг/м2</t>
  </si>
  <si>
    <t>Дополнительный урожай,
кг/м2</t>
  </si>
  <si>
    <t>Всего площадь,
м2</t>
  </si>
  <si>
    <t>Дополнительный доход,
сум/м2</t>
  </si>
  <si>
    <t>Стоимость*,
сум/кг</t>
  </si>
  <si>
    <t>Рост урожайности**,
%</t>
  </si>
  <si>
    <t>Обычная урожайность,
кг/га</t>
  </si>
  <si>
    <t>Площадь,
га</t>
  </si>
  <si>
    <t>Всего экономия,
сум</t>
  </si>
  <si>
    <t>Экономия минеральных удобрений</t>
  </si>
  <si>
    <t>Стоимость,
сум/кг**</t>
  </si>
  <si>
    <t>Ежегодное погашение процентов,
сум</t>
  </si>
  <si>
    <t>Чистая приведенная стоимость (NPV) за 3 года</t>
  </si>
  <si>
    <t>Амортизационные отчисления,
сум</t>
  </si>
  <si>
    <t>Цистерна под биореактор 50 м3</t>
  </si>
  <si>
    <t>Доставка сырья (навоз)</t>
  </si>
  <si>
    <t>Доход от роста урожайности помидоров в теплице</t>
  </si>
  <si>
    <t>Доход от роста урожайности пшеницы</t>
  </si>
  <si>
    <t>Налог на прибыль от реализации биоудобрений (9%)</t>
  </si>
  <si>
    <t>Пшеница</t>
  </si>
  <si>
    <t>Экономия в сутки,
сум</t>
  </si>
  <si>
    <t>га</t>
  </si>
  <si>
    <t>м2</t>
  </si>
  <si>
    <t>Описание</t>
  </si>
  <si>
    <t>Монтаж</t>
  </si>
  <si>
    <t>Строительство</t>
  </si>
  <si>
    <t>Всего инвестиции на БГУ</t>
  </si>
  <si>
    <t>Текущие затраты</t>
  </si>
  <si>
    <t>Кредит</t>
  </si>
  <si>
    <t>Выгоды</t>
  </si>
  <si>
    <t>Графы</t>
  </si>
  <si>
    <t>Наименование листа и таблиц</t>
  </si>
  <si>
    <t>В данном листе представлен перечень затрат на монтаж БГУ, с указанием их стоимости на единицу, количества и общей суммы. Этот перечень взят за образец с БГУ ф/х "Надежда" в Сырдарьинской области. Данный перечень, конечно же, может варьировать в зависимости от конфигурации БГУ и прочих условий. Окрашенные ячейки представляют собой формулы автоматически рассчитываемые для подсчета общей суммы затрат.</t>
  </si>
  <si>
    <t>Наименование затрат</t>
  </si>
  <si>
    <t xml:space="preserve">В этой графе приведен перечень оборудования, комплектующих и прочих затрат, связанных с монтажом БГУ. </t>
  </si>
  <si>
    <t>Для учета затрат приведены единицы измерения: штук, кг, комплект и т.д. в зависимости от типа затрат.</t>
  </si>
  <si>
    <t>Там где дана единица измерения приведено количество для каждого типа затрат.</t>
  </si>
  <si>
    <t>Цена за единицу, сум</t>
  </si>
  <si>
    <t>Расходы, сум</t>
  </si>
  <si>
    <t>После указания количества и цены за единицу затрат - формула автоматически рассчитывает общую сумму по каждому типу затрат. Транспортные расходы рассчитаны как валовые - вводятся вручную.</t>
  </si>
  <si>
    <t>Стоимость, сум</t>
  </si>
  <si>
    <t>Норма амортизации, %</t>
  </si>
  <si>
    <t>Амортизационные отчисления, сум</t>
  </si>
  <si>
    <t>Перечень затрат</t>
  </si>
  <si>
    <t>Значение, сум</t>
  </si>
  <si>
    <t>Кредит, сум</t>
  </si>
  <si>
    <t>Процентная ставка, %</t>
  </si>
  <si>
    <t>Ресурсы</t>
  </si>
  <si>
    <t>Суточный объем навоза, кг/сутки</t>
  </si>
  <si>
    <t>Годовой объем навоза, кг/год</t>
  </si>
  <si>
    <t>Средний показатель выхода биогаза, м3/кг</t>
  </si>
  <si>
    <t>Средний выход биогаза в сутки, м3/день</t>
  </si>
  <si>
    <t>Годовой выход биогаза, м3/год</t>
  </si>
  <si>
    <t>Норма внесения, кг/га</t>
  </si>
  <si>
    <t>Стоимость, сум/кг</t>
  </si>
  <si>
    <t>Экономия, сум/га</t>
  </si>
  <si>
    <t>Площадь, га</t>
  </si>
  <si>
    <t>Всего экономия, сум</t>
  </si>
  <si>
    <t>Стоимость, сум/тонн</t>
  </si>
  <si>
    <t>Доход, сум</t>
  </si>
  <si>
    <t>Обычная урожайность, кг/га</t>
  </si>
  <si>
    <t>Рост урожайности, %</t>
  </si>
  <si>
    <t>Дополнительный урожай, кг/га</t>
  </si>
  <si>
    <t>Дополнительный доход, сум/га</t>
  </si>
  <si>
    <t>Всего площадь, га</t>
  </si>
  <si>
    <t>Всего дополнительный доход, сум</t>
  </si>
  <si>
    <t>Обычная урожайность, кг/м2</t>
  </si>
  <si>
    <t>Дополнительный урожай, кг/м2</t>
  </si>
  <si>
    <t>Дополнительный доход, сум/м2</t>
  </si>
  <si>
    <t>Всего площадь, м2</t>
  </si>
  <si>
    <t>Экономия от замены природного газа на биогаз</t>
  </si>
  <si>
    <t>Экономия в сутки, сум</t>
  </si>
  <si>
    <t>Норма 
амортизации*,
%</t>
  </si>
  <si>
    <t>Примечание: *- Годовая норма амортизации, исходя из срока службы БГУ равной 15 лет</t>
  </si>
  <si>
    <t>Период</t>
  </si>
  <si>
    <t>Экономия минеральных удобрений за счет внесения биоудобрений на пшеничное поле</t>
  </si>
  <si>
    <t>* - рекомендованная норма внесения аммиачной селитры на 1 га пшеницы
** - средняя цена аммиачной селитры с учетом изменения на 10% ежегодно</t>
  </si>
  <si>
    <t>в сумах</t>
  </si>
  <si>
    <t>Прибыль</t>
  </si>
  <si>
    <t>Амортизационные отчисления (7%)</t>
  </si>
  <si>
    <t>Итого годовые текущие затраты</t>
  </si>
  <si>
    <t>Эксплуатационные затраты, всего*</t>
  </si>
  <si>
    <t>* - Эксплуатационные годовые затраты на поддержание устойчивой работы БГУ составляют в среднем не более 5% от стоимости БГУ. 
** - Годовая норма амортизации, исходя из срока службы БГУ равной 15 лет</t>
  </si>
  <si>
    <r>
      <t>Годовой объем биогаза</t>
    </r>
    <r>
      <rPr>
        <sz val="12"/>
        <color theme="1"/>
        <rFont val="Times New Roman"/>
      </rPr>
      <t xml:space="preserve">
м3/год</t>
    </r>
  </si>
  <si>
    <t>Экономия в год,
сум</t>
  </si>
  <si>
    <t>Используемый объем биогаза,
м3/сутки</t>
  </si>
  <si>
    <t>1 год*</t>
  </si>
  <si>
    <t>Средний показатель выхода биогаза**
м3/кг</t>
  </si>
  <si>
    <t>Примечание:</t>
  </si>
  <si>
    <t>Кол-во КРС, 
голов</t>
  </si>
  <si>
    <t>* - Количество дней за 1 год взято за 270 с учетом времени затраченного на строительство БГУ</t>
  </si>
  <si>
    <t>Всего инвестиции в БГУ</t>
  </si>
  <si>
    <t>Доход от реализации биоудобрений</t>
  </si>
  <si>
    <t>Экономия природного газа при использовании биогаза</t>
  </si>
  <si>
    <t>* - государственная цена природного газа для оптовых потребителей по состоянию на 01.03.12. В последующие периоды учтено примерное изменение цены (20%)</t>
  </si>
  <si>
    <t>Площадь теплицы (помидоры), м2</t>
  </si>
  <si>
    <t xml:space="preserve"> Единица измерения</t>
  </si>
  <si>
    <t>голов</t>
  </si>
  <si>
    <t>кг/голова КРС</t>
  </si>
  <si>
    <t>Суточный выход навоза</t>
  </si>
  <si>
    <t>Количество КРС</t>
  </si>
  <si>
    <t>Значение</t>
  </si>
  <si>
    <t>Норма внесения минеральных удобрений для пшеницы</t>
  </si>
  <si>
    <t>кг/га</t>
  </si>
  <si>
    <t>Норма внесения биоудобрений для пшеницы</t>
  </si>
  <si>
    <t>кг/м2</t>
  </si>
  <si>
    <t>Норма внесения биоудобрений для помидоров (теплица)</t>
  </si>
  <si>
    <t>сум/кг</t>
  </si>
  <si>
    <t>Цена пшеницы в 1-й год</t>
  </si>
  <si>
    <t>Цена минеральных удобрений в 1-й год</t>
  </si>
  <si>
    <t>Цена биоудобрений в 1-й год</t>
  </si>
  <si>
    <t>сум</t>
  </si>
  <si>
    <t>Процентная ставка</t>
  </si>
  <si>
    <t>%</t>
  </si>
  <si>
    <t>Кредит, сумма</t>
  </si>
  <si>
    <t>Обычная урожайность пшеницы</t>
  </si>
  <si>
    <t>Обычная урожайность помидоров (теплица)</t>
  </si>
  <si>
    <t>Ресурсная база</t>
  </si>
  <si>
    <t>Цены</t>
  </si>
  <si>
    <t>Минеральные удобрения и биоудобрения</t>
  </si>
  <si>
    <t>Рост урожайности пшеницы</t>
  </si>
  <si>
    <t>Рост урожайности помидоров</t>
  </si>
  <si>
    <t>* - средняя рыночная цена помидоров в зимне-весенний период с учетом ежегодного изменения цен
** - среднее повышение урожайности</t>
  </si>
  <si>
    <t>Изменение цены на пшеницу</t>
  </si>
  <si>
    <t>Изменение цены на биоудобрения</t>
  </si>
  <si>
    <t>Изменение цены на помидоры</t>
  </si>
  <si>
    <t>* - средняя рыночная цена, с учетом изменения в среднем на 20% каждый год
** - средний показатель роста урожайности</t>
  </si>
  <si>
    <t>сум/м3</t>
  </si>
  <si>
    <t>Цена на природный газ в 1-й год</t>
  </si>
  <si>
    <t>Изменение цены на природный газ</t>
  </si>
  <si>
    <t>Изменение цены на минеральные удобрения</t>
  </si>
  <si>
    <t>Цена помидоров в 1-й год (зимний сезон)</t>
  </si>
  <si>
    <t>Влажность экскрементов (навоза)</t>
  </si>
  <si>
    <t>м3/кг</t>
  </si>
  <si>
    <t>Средний выход биогаза в сутки
м3/день***</t>
  </si>
  <si>
    <t>Используемый объем биогаза****,
 м3/день</t>
  </si>
  <si>
    <r>
      <t>**</t>
    </r>
    <r>
      <rPr>
        <sz val="12"/>
        <color theme="1"/>
        <rFont val="Times New Roman"/>
      </rPr>
      <t xml:space="preserve"> Выход биогаза в м3 на 1 кг сухого вещества (навоза)</t>
    </r>
  </si>
  <si>
    <r>
      <t xml:space="preserve">*** </t>
    </r>
    <r>
      <rPr>
        <sz val="12"/>
        <color theme="1"/>
        <rFont val="Times New Roman"/>
      </rPr>
      <t>Выход биогаза при 85% влажности экскрементов</t>
    </r>
  </si>
  <si>
    <r>
      <t xml:space="preserve">**** </t>
    </r>
    <r>
      <rPr>
        <sz val="12"/>
        <color theme="1"/>
        <rFont val="Times New Roman"/>
      </rPr>
      <t>На работу самого БГУ расходуется 15% биогаза, 85% выхода биогаза предназначено для потребления</t>
    </r>
  </si>
  <si>
    <r>
      <rPr>
        <b/>
        <sz val="12"/>
        <color indexed="8"/>
        <rFont val="Times New Roman"/>
      </rPr>
      <t>*****</t>
    </r>
    <r>
      <rPr>
        <sz val="12"/>
        <color theme="1"/>
        <rFont val="Times New Roman"/>
      </rPr>
      <t xml:space="preserve"> Нормативный объемный вес биогаза составляет 1.2 кг на 1 м3. Поэтому при расчете количества получаемых удобрений, необходимо вычитать его из общего объема перерабатываемого сырья.</t>
    </r>
  </si>
  <si>
    <t>Выход биогаза на 1 кг сухого вещества (навоза)</t>
  </si>
  <si>
    <t>Исходные данные</t>
  </si>
  <si>
    <t>По категориям разбиты параметры: ресурсная база, удобрения, урожайность с/х культур, цены и кредит.</t>
  </si>
  <si>
    <t>Вводятся вручную значения для каждого параметра. Значения автоматически корректируются в соответствующих листах с расчетами.</t>
  </si>
  <si>
    <t>На каждую единицу затрат указана примерная цена. Стоимость затрат варьируется в каждом случае - вводится в ручную.</t>
  </si>
  <si>
    <t>Аналогично листу "Монтаж" здесь представлен перечень затрат на строительство БГУ, с указанием их стоимости на единицу, количества и общей суммы. Этот перечень взят за образец с БГУ ф/х "Надежда". Данный перечень, конечно же, может варьировать в зависимости от конфигурации БГУ и прочих условий. Окрашенные ячейки представляют собой формулы автоматически рассчитываемые для подсчета общей суммы затрат.</t>
  </si>
  <si>
    <t>В листе приведены исходные параметры, которые определяют эффективность вложений в биогазовую установку. Данные параметры можно корректировать вручную и они влияют на расчеты, приведенные в остальных листах (за исключением - "Монтаж" и "Строительство").</t>
  </si>
  <si>
    <t>Для каждого параметра приведена своя единица измерения (м3, %, сум/кг и т.д.)</t>
  </si>
  <si>
    <t>После указания количества и цены за единицу затрат - формула автоматически рассчитывает общую сумму по каждому типу затрат.</t>
  </si>
  <si>
    <t xml:space="preserve">В этой графе приведен перечень материалов и услуг, связанных со строительством БГУ. </t>
  </si>
  <si>
    <t>Приведены итоговые показатели по монтажу и строительству БГУ.</t>
  </si>
  <si>
    <t>Указана итоговая стоимость затрат по монтажу и строительству БГУ.</t>
  </si>
  <si>
    <t>Срок службы БГУ взят за 15 лет и норма амортизации взята за 7%.</t>
  </si>
  <si>
    <t>Исходя из общей стоимости БГУ и нормы амортизации рассчитываются годовые амортизационные отчисления.</t>
  </si>
  <si>
    <t>Данный лист является результатом данных, приведенных в листах "Монтаж" и "Строительство" - все значения автоматически рассчитываются.</t>
  </si>
  <si>
    <t>Период: 1-й год, 2-й год, 3-й год</t>
  </si>
  <si>
    <t>В этом листе приведены расчеты по выходу биогаза и биоудобрения исходя из имеющейся ресурсной базы (КРС, навоз) и параметров по выходу биогаза и биоудобрений. Все значения рассчитываются автоматически.</t>
  </si>
  <si>
    <t>Количество КРС, голов</t>
  </si>
  <si>
    <t>От типа и количества голов того или иного животного (источник сырья) зависит выход навоза и соответственно биогаза и биоудобрений. В данном случае за источник сырья взят КРС.</t>
  </si>
  <si>
    <t>Выход навоза в сутки от одной головы КРС. Значение можно корректировать в листе с исходными параметрами.</t>
  </si>
  <si>
    <t>Суммарный суточный объем навоза рассчитывается путем умножения количества голов КРС на суточный выход навоза от каждой головы КРС</t>
  </si>
  <si>
    <t>Суточный выход навоза, кг/голова КРС</t>
  </si>
  <si>
    <t>Срок окупаемости вложений в БГУ принят за три года. В первый период/год количество дней взято за 270 с учетом времени затраченного на строительство и запуск БГУ. За остальные периоды количество дней взято за 360.</t>
  </si>
  <si>
    <t>Годовой объем навоза рассчитывается путем умножения суточного объема навоза на количество дней в году.</t>
  </si>
  <si>
    <t>Для расчета фактического выхода биогаза необходимо учитывать влажность навоза. В данном случае, влажность навоза взята за 85% и суточный выход биогаза рассчитывается путем умножения суточного объема навоза на показатель выхода биогаза на кг сухого вещества скорректированного на коэффициент 0.15 (1-0.85).</t>
  </si>
  <si>
    <t>Используемый объем биогаза, м3/день</t>
  </si>
  <si>
    <t>На работу самого БГУ тратится в среднем 15% вырабатываемого биогаза, поэтому конечный суточный объем используемого биогаза рассчитывается умножением суточного выхода биогаза на коэффициент 0.85 (1-0.15).</t>
  </si>
  <si>
    <t>Годовой выход биогаза получается путем умножения суточного выхода используемого биогаза на количество дней в году.</t>
  </si>
  <si>
    <t>Приведен средний выход биогаза (м3) на 1 кг сухого вещества (навоза). Параметр можно поменять в исходных данных.</t>
  </si>
  <si>
    <t>Суточный выход биоудобрений, кг/день</t>
  </si>
  <si>
    <r>
      <t xml:space="preserve"> Суточный выход биоудобрений*</t>
    </r>
    <r>
      <rPr>
        <b/>
        <sz val="12"/>
        <color indexed="8"/>
        <rFont val="Times New Roman"/>
      </rPr>
      <t>****</t>
    </r>
    <r>
      <rPr>
        <sz val="12"/>
        <color theme="1"/>
        <rFont val="Times New Roman"/>
      </rPr>
      <t xml:space="preserve">
кг/день</t>
    </r>
  </si>
  <si>
    <t xml:space="preserve"> Годовой выход биоудобрений
тонн/год</t>
  </si>
  <si>
    <t>Годовой выход биоудобрений, тонн/год</t>
  </si>
  <si>
    <t>Нормативный объемный вес биогаза составляет 1,2 кг на 1 м3. Поэтому при расчете количества получаемых удобрений, необходимо вычитать его из общего объема перерабатываемого сырья: суточный выход биогаза (с учетом используемого на работу самого БГУ), помноженный на коэффициент 1,2, вычитается с общего суточного объема навоза.</t>
  </si>
  <si>
    <t>Годовой выход биоудобрений получается путем умножения суточного выхода на количество дней в году.</t>
  </si>
  <si>
    <t>Суточный выход навоза
кг/голова КРС</t>
  </si>
  <si>
    <t>Исходные параметры, которые можно изменять - результаты автоматически корректируются в других листах (за исключением - "Монтаж" и "Строительство").</t>
  </si>
  <si>
    <t>Приведены затраты (эксплуатационные затраты и амортизация) на поддержание устойчивой работы БГУ. Расчеты автоматизированы.</t>
  </si>
  <si>
    <t>Годовые эксплуатационные затраты состоят из расходов на поддержание стабильной работы БГУ и составляют в среднем не более 5% от общей стоимости БГУ. Значение амортизационных отчислений также рассчитано исходя из стоимости БГУ - значение ссылается на лист "Всего инвестиции в БГУ".</t>
  </si>
  <si>
    <t>Стоимость затрат приведена в сумах в год.</t>
  </si>
  <si>
    <t>Ежегодное погашение процентов</t>
  </si>
  <si>
    <t>Основной долг</t>
  </si>
  <si>
    <t>Проценты</t>
  </si>
  <si>
    <t>Итого/всего, сум</t>
  </si>
  <si>
    <t>Ежегодная банковская коммерческая ставка процента - 16%. В случае получения кредита на льготных условиях ставка процента снижается - корректировать можно в листе с исходными данными.</t>
  </si>
  <si>
    <t xml:space="preserve">Сумма кредита, необходимая для строительства БГУ. В данном случае предполагается, что все затраты по строительству БГУ (50 млн.сум) покрываются за счет кредитных средств банка. </t>
  </si>
  <si>
    <t xml:space="preserve">Исходя из суммы кредита и ставки процента рассчитывается сумма ежегодного погашения выплат по процентам - 8 млн.сум (50 млн.сум * 0.16). </t>
  </si>
  <si>
    <t>Рассчитан ежегодный график погашения выплат по кредиту.</t>
  </si>
  <si>
    <t>Сумма основного долга составляет 50 млн.сум. При погашении кредита учтен льготный период в 6 месяцев, в течение которого погашаются только проценты, а основной долг погашается равномерно ежемесячно последующие 30 месяцев.</t>
  </si>
  <si>
    <t>Проценты погашаются в размере 8 млн.сум ежегодно.</t>
  </si>
  <si>
    <t>Суммированы выплаты по кредиту как по периодам (1-3), так и по видам платежей (основной долг, проценты).</t>
  </si>
  <si>
    <t>Приведены расчеты всех выгод, связанных с производством и реализацией биогаза и биоудобрений. Все расчеты автоматизированы исходя из исходных данных.</t>
  </si>
  <si>
    <t>Расчет суммы экономии приведен по годам.</t>
  </si>
  <si>
    <t>Дана текущая рыночная цена аммиачной селитры в 1-й год с учетом изменения на 10% ежегодно в последующие периоды. Цену и его изменения можно скорректировать в листе с исходными данными.</t>
  </si>
  <si>
    <t>Площадь пахотных земель, занятых под пшеницей. Изменяемый параметр.</t>
  </si>
  <si>
    <t>Экономия в денежном выражении (на 1 га пшеницы) рассчитана умножением цены минеральных удобрений на его объем необходимый для 1 га пшеницы.</t>
  </si>
  <si>
    <t>Итоговая сумма экономии, полученная путем умножения суммы экономии на 1 га на всю площадь пшеницы.</t>
  </si>
  <si>
    <t>За образец минеральных удобрений взята аммиачная селитра, которая широко используется в сельском хозяйстве. Приведена рекомендованная норма внесения аммиачной селитры на 1 га пшеницы. Можно корректировать данную норму в листе с исходными данными.</t>
  </si>
  <si>
    <t>В т.ч. для собственных нужд,
тонн**</t>
  </si>
  <si>
    <t>В т.ч. на реализацию,
тонн**</t>
  </si>
  <si>
    <t>В т.ч., для собственных нужд, тонн</t>
  </si>
  <si>
    <t>В т.ч., на реализацию, тонн</t>
  </si>
  <si>
    <t>* - Цена за 1 кг биоудобрения взята за 45 сум. В последующие периоды учтено примерное ежегодное изменение цены (10%).
** - на 1 га пшеницы в среднем требуется 5 тонн биоудобрений - 50 тонн для 10 га; на 1 м2 помидоров в теплице достаточно 5 кг биоудобрений, или 3 тонны на 600 м2 за сезон.</t>
  </si>
  <si>
    <t>Цена реализации 1 кг биоудобрения взята за 45 сум или 45 тыс.сум за тонну. В последующие периоды учтено умеренное ежегодное изменение цены (10%). Цену и его изменение можно скорректировать в исходных данных.</t>
  </si>
  <si>
    <t>Приведен выход биоудобрений по годам - ссылка на лист "Ресурсы".</t>
  </si>
  <si>
    <t>Расчет количества биоудобрений для собственных нужд сделан исходя из следующих условий: на 1 га пшеницы в среднем требуется 5 тонн биоудобрений, или 50 тонн для 10 га; на 1 м2 помидоров в теплице достаточно 5 кг биоудобрений, или 3 тонны на 600 м2 за сезон.</t>
  </si>
  <si>
    <t>Весь остаток биоудобрений (после вычета объема для собственных нужд) планируется реализовать.</t>
  </si>
  <si>
    <t>Расчеты по реализации биоудобрений даны по годам.</t>
  </si>
  <si>
    <t>Итоговая сумма дохода от реализации биоудобрений - умножение количества биоудобрений (для реализации) на его цену.</t>
  </si>
  <si>
    <t>Помидоры (в теплице)</t>
  </si>
  <si>
    <t>Экономия минеральных удобрений за счет использования биоудобрений - один из основных выгод от БГУ. В данном случае, ф/х обладает пшеничным полем, поэтому расчеты приведены соответствующие.</t>
  </si>
  <si>
    <t>Средний показатель урожайности пшеницы составляет 5000 кг/га. Параметр можно изменить в исходных данных.</t>
  </si>
  <si>
    <t>Средняя рыночная цена за 1 кг пшеницы, с учетом изменения в среднем на 20% каждый год. Цену и его изменение можно корректировать в исходных данных.</t>
  </si>
  <si>
    <t>Средний показатель роста урожайности пшеницы - параметр можно изменить.</t>
  </si>
  <si>
    <t>Дополнительный доход на 1 га пшеницы рассчитан через умножение дополнительного урожая пшеницы на его соответствующую цену.</t>
  </si>
  <si>
    <t>Общий доход от роста урожайности пшеницы получен путем умножения дополнительного дохода (сум/га) на значение всей площади (10 га).</t>
  </si>
  <si>
    <t>Расчеты приведены по годам.</t>
  </si>
  <si>
    <t>Средний показатель урожайности помидоров составляет 15 кг/м2. Параметр можно изменить в исходных данных.</t>
  </si>
  <si>
    <t>Средняя рыночная цена помидоров в зимне-весенний период с учетом умеренного ежегодного изменения цен (10%). Цену и его изменение можно корректировать в исходных данных.</t>
  </si>
  <si>
    <t>Рассчитаны выгоды от повышения урожайности имеющихся с/х культур за счет использования биоудобрений. Параметры взяты с исходных данных, которые можно корректировать.</t>
  </si>
  <si>
    <t>Даны автоматические расчеты по кредиту, проценту и графику погашения за весь срок проекта. Исходные значения суммы кредита и ставки процента приведены в листе "Исходные данные".</t>
  </si>
  <si>
    <t>Количество дополнительного урожая (кг/м2) рассчитывается путем умножения показателя роста урожайности (15%) на показатель средней урожайности (15 кг/м2) .</t>
  </si>
  <si>
    <t>Количество дополнительного урожая (кг/га) рассчитывается путем умножения показателя роста урожайности (10%) на показатель средней урожайности (5000 кг/га) .</t>
  </si>
  <si>
    <t>Средний показатель роста урожайности помидоров - параметр можно изменить.</t>
  </si>
  <si>
    <t>Дополнительный доход на 1 м2 рассчитан через умножение дополнительного урожая помидоров на его соответствующую цену.</t>
  </si>
  <si>
    <t>Площадь теплицы - изменяемый параметр.</t>
  </si>
  <si>
    <t>Общий доход от роста урожайности помидоров получен путем умножения дополнительного дохода (сум/м2/) на значение всей площади (600 м2).</t>
  </si>
  <si>
    <t>В таблице рассчитан экономический эффект за счет повышения роста урожайности помидоров, выращиваемых в тепличных условиях.</t>
  </si>
  <si>
    <t>От реализации биоудобрений зависит окупаемость данных инвестиций в БГУ. Расчеты в таблице приведены с учетом исходных параметров, которые видоизменяемы.</t>
  </si>
  <si>
    <t>В данной таблице рассчитан экономический эффект за счет повышения роста урожайности пшеницы.</t>
  </si>
  <si>
    <t>В этой таблице приведены расчеты от выгод, связанных с экономией природного газа за счет его замещения биогазом.</t>
  </si>
  <si>
    <t>Используемый объем биогаза, м3/сутки</t>
  </si>
  <si>
    <t>Эквивалент природного газа, м3</t>
  </si>
  <si>
    <t>Цена природного газа*,
сум/м3</t>
  </si>
  <si>
    <t>Цена природного газа, сум/м3</t>
  </si>
  <si>
    <t>Экономия в год, сум</t>
  </si>
  <si>
    <t>Объем биогаза для конечного потребления ссылается на лист "Ресурсы".</t>
  </si>
  <si>
    <t>Государственная цена природного газа для оптовых потребителей по состоянию на 01.03.12. В последующие периоды учтено примерное изменение цены (20%).</t>
  </si>
  <si>
    <t>м3 природного газа</t>
  </si>
  <si>
    <t>1 м3 биогаза в эквиваленте природного газа</t>
  </si>
  <si>
    <t>Эквивалент рассчитан исходя из равенства: 1м3 биогаза = 0.7 м3 природного газа. Параметр эквивалента можно изменить в исходных данных при необходимости.</t>
  </si>
  <si>
    <t>Эквивалент природного газа,
м3/сутки</t>
  </si>
  <si>
    <t>Денежный размер экономии природного газа рассчитан путем умножения суточной экономии природного газа на его цену.</t>
  </si>
  <si>
    <t>Размер ежегодной экономии от использования биогаза получен путем умножения суточной экономии (сум) природного газа на количество дней в году.</t>
  </si>
  <si>
    <t>Итоговые значения приведены по годам.</t>
  </si>
  <si>
    <t>Приведены ежегодные доходы от реализации биоудобрений.</t>
  </si>
  <si>
    <t>Приведены выгоды от экономии природного газа.</t>
  </si>
  <si>
    <t>Приведены доходы от роста урожайности помидоров в теплице.</t>
  </si>
  <si>
    <t>Приведены доходы от роста урожайности пшеницы.</t>
  </si>
  <si>
    <t>Приведены выгоды от экономии минеральных удобрений.</t>
  </si>
  <si>
    <t>Суммированы все ежегодные доходы.</t>
  </si>
  <si>
    <t>Рентабельность проекта (доходность инвестиций)</t>
  </si>
  <si>
    <t>Рентабельность проекта/инвестиций рассчитана путем деления чистой приведенной стоимости на сумму инвестиций (50 млн.сум).</t>
  </si>
  <si>
    <t>Сумма инвестиций приведена для расчета рентабельности проекта/инвестиций.</t>
  </si>
  <si>
    <t>Приведены итоговые значения текущих затрат.</t>
  </si>
  <si>
    <t>Реализация биоудобрений не является основной деятельностью ф/х и поэтому облагается налогом на прибыль в обычном порядке. Ставка налога равна 9% в 2012 году.</t>
  </si>
  <si>
    <t>Приведены суммарные ежегодные платежи по кредиту.</t>
  </si>
  <si>
    <t>Чистая прибыль дана как разница прибыли и платежей по кредиту.</t>
  </si>
  <si>
    <t>Прибыль рассчитывается путем вычитания суммарных годовых затрат из суммарных годовых доходов.</t>
  </si>
  <si>
    <t>Чистая прибыль (чистый денежный поток)</t>
  </si>
  <si>
    <t>Чистая приведенная стоимость проекта рассчитана как сумма ежегодных чистых денежных потоков (чистая прибыль), дисконтированных на ставку риска в 14%.</t>
  </si>
  <si>
    <t>Суммированы все затраты, включая выплаты по кредиту и налоги.</t>
  </si>
  <si>
    <t>На каждую единицу затрат указана примерная цена. Стоимость затрат варьируется в каждом случае - вводится вручную.</t>
  </si>
  <si>
    <t>Курс доллара</t>
  </si>
  <si>
    <t>Офиц курс (ЦБУ РУз) доллара к суму</t>
  </si>
  <si>
    <t>1 долл/сум</t>
  </si>
  <si>
    <t>Количество дней за 1 год</t>
  </si>
  <si>
    <t>Реализация мяса</t>
  </si>
  <si>
    <t>Реализация молока</t>
  </si>
  <si>
    <t>Реализация пшеницы</t>
  </si>
  <si>
    <t>Реализация помидоров</t>
  </si>
  <si>
    <t>Налоги</t>
  </si>
  <si>
    <t>Текущие эксплуатационные расходы по БГУ</t>
  </si>
  <si>
    <t>Прибыль до уплаты налогов</t>
  </si>
  <si>
    <t>Чистая прибыль</t>
  </si>
  <si>
    <t>Налоги, всего</t>
  </si>
  <si>
    <t>Налог на прибыль (реализация биоудобрений)</t>
  </si>
  <si>
    <t>Погашение кредита, всего</t>
  </si>
  <si>
    <t>Мясо</t>
  </si>
  <si>
    <t>Молоко</t>
  </si>
  <si>
    <t>Помидоры</t>
  </si>
  <si>
    <t>Биоудобрения</t>
  </si>
  <si>
    <t>Доходы от реализации продукции</t>
  </si>
  <si>
    <t>Зарплата</t>
  </si>
  <si>
    <t>Экономический эффект от инвестиций в БГУ</t>
  </si>
  <si>
    <t>Кол-во КРС</t>
  </si>
  <si>
    <t>Выход мяса от 1 головы КРС,
кг/год</t>
  </si>
  <si>
    <t>Урожайность,
кг/га</t>
  </si>
  <si>
    <t>Площадь, м2</t>
  </si>
  <si>
    <t>Итоговые денежные потоки</t>
  </si>
  <si>
    <t>Цена мяса в 1-й год</t>
  </si>
  <si>
    <t>Цена молока в 1-й год</t>
  </si>
  <si>
    <t>сум/литр</t>
  </si>
  <si>
    <t>Изменение цены на молоко</t>
  </si>
  <si>
    <t>Изменение цены на мясо</t>
  </si>
  <si>
    <t>Выход продукции</t>
  </si>
  <si>
    <t>литр/голова КРС</t>
  </si>
  <si>
    <t>Выход мяса от 1 головы КРС в год</t>
  </si>
  <si>
    <t>Всего,
литр/год</t>
  </si>
  <si>
    <t>Всего,
кг/год</t>
  </si>
  <si>
    <t>Количество КРС на забой</t>
  </si>
  <si>
    <t>голов/год</t>
  </si>
  <si>
    <t>Всего урожай,
кг/год</t>
  </si>
  <si>
    <t>Цена,
сум/тонна</t>
  </si>
  <si>
    <t>Цена,
сум/кг</t>
  </si>
  <si>
    <t>Цена,
сум/литр</t>
  </si>
  <si>
    <t>Всего,
тонн/год</t>
  </si>
  <si>
    <t>Налог на прибыль</t>
  </si>
  <si>
    <t>Зарплата работников</t>
  </si>
  <si>
    <t>Количество дойных голов КРС</t>
  </si>
  <si>
    <t>Средний выход молока от 1 головы КРС в год</t>
  </si>
  <si>
    <t>Выход молока от 1 головы КРС
литр/год</t>
  </si>
  <si>
    <t>Корма</t>
  </si>
  <si>
    <t>Осеменение</t>
  </si>
  <si>
    <t>Ремонт помещений для КРС</t>
  </si>
  <si>
    <t>Корм для скота</t>
  </si>
  <si>
    <t>Площадь угодий под пастбища</t>
  </si>
  <si>
    <t>Среднее кол-во корма необходимого для 1 головы КРС</t>
  </si>
  <si>
    <t>Среднее кол-во заготавливаемого корма с 1 га угодий</t>
  </si>
  <si>
    <t>Класс земли под пшеницу</t>
  </si>
  <si>
    <t>Площадь пшеницы</t>
  </si>
  <si>
    <t>Класс земли под пастбища</t>
  </si>
  <si>
    <t>Поправочный коэффициент к земле под пастбища</t>
  </si>
  <si>
    <t>Поправочный коэффициент к земле под пшеницу</t>
  </si>
  <si>
    <t>сум/га</t>
  </si>
  <si>
    <t>Базовая ставка земельного налога за орошаемые угодия</t>
  </si>
  <si>
    <t>Поправочный коэффицент</t>
  </si>
  <si>
    <t>Класс земли</t>
  </si>
  <si>
    <t>Земельный налог,
сум</t>
  </si>
  <si>
    <t>Базовая ставка земельного налога,
сум</t>
  </si>
  <si>
    <t>Прибыль,
сум</t>
  </si>
  <si>
    <t>Ставка налога на прибыль,
%</t>
  </si>
  <si>
    <t>Налог на прибыль,
сум</t>
  </si>
  <si>
    <t>Текущие затраты на БГУ,
сум</t>
  </si>
  <si>
    <t>Налогооблагаемая база - земля занятая под пшеницей</t>
  </si>
  <si>
    <t>Налогооблагаемая база - земля занятая под пастбищами</t>
  </si>
  <si>
    <t>Налогооблагаемая база - реализация биоудобрений</t>
  </si>
  <si>
    <t>Корм для КРС</t>
  </si>
  <si>
    <t>Зооветпрепараты и зооветеринарные услуги</t>
  </si>
  <si>
    <t>Затраты на содержание КРС</t>
  </si>
  <si>
    <t>тонн/га</t>
  </si>
  <si>
    <t>тонн/голова КРС</t>
  </si>
  <si>
    <t>Единый земельный налог</t>
  </si>
  <si>
    <t>Текущие/эксплуатационные расходы на БГУ</t>
  </si>
  <si>
    <t>Затраты на выращивание пшеницы</t>
  </si>
  <si>
    <t>Семена</t>
  </si>
  <si>
    <t>Затраты на теплицу (помидоры)</t>
  </si>
  <si>
    <t>VII</t>
  </si>
  <si>
    <t>VI</t>
  </si>
  <si>
    <t>Механизированные услуги</t>
  </si>
  <si>
    <t>Электроэнергия</t>
  </si>
  <si>
    <t>Природный газ</t>
  </si>
  <si>
    <t>Экономический эффект от БГУ</t>
  </si>
  <si>
    <t>Расчеты по затратам и выгодам, связанным только с БГУ, дают наглядное представление об окупаемости вложений в БГУ. Все значения даны в сумах и ссылаются на соответствующие значения в других листах.</t>
  </si>
  <si>
    <t>Доходы и расходы</t>
  </si>
  <si>
    <t>Приведены расчеты по объемам реализации всех продуктов фермерского хозяйства: мясо, молоко, пшеница, помидоры, биоудобрения. Также приведены расчеты по затратам, связанными с содержанием КРС, выращиванием пшеницы и помидоров в теплице.</t>
  </si>
  <si>
    <t>Автоматически суммируются все денежные потоки как по всем доходам так и по всем затратам, включая выплаты по кредиту и налоги. Расчеты приведены по годам за весь срок проекта - 3 года.</t>
  </si>
  <si>
    <t>Фонда заработной платы</t>
  </si>
  <si>
    <t>Количество работников, всего</t>
  </si>
  <si>
    <t>Отчисления во внебюджетные фонды</t>
  </si>
  <si>
    <t xml:space="preserve"> %</t>
  </si>
  <si>
    <t>Средняя зарплата 1 работника</t>
  </si>
  <si>
    <t>Фонд заработной платы</t>
  </si>
  <si>
    <t xml:space="preserve">Затраты на выращивание 1 га пшеницы </t>
  </si>
  <si>
    <t>Прочие затраты (уборка урожая, транспортировка и др.)</t>
  </si>
  <si>
    <t>Затраты на выращивание помидоров в теплице (600 м2)</t>
  </si>
  <si>
    <t>Цена за 1 кг семян</t>
  </si>
  <si>
    <t>Шрот</t>
  </si>
  <si>
    <t>Шелуха</t>
  </si>
  <si>
    <t>Цена за 1 кг шелухи</t>
  </si>
  <si>
    <t>Изменение цены на шелуху</t>
  </si>
  <si>
    <t>Изменение цены на шрот</t>
  </si>
  <si>
    <t>Цена за 1 кг шрота</t>
  </si>
  <si>
    <t>Рост затрат на зооветпрепараты и зооветеринарные услуги</t>
  </si>
  <si>
    <t>Рост затрат на осеменение</t>
  </si>
  <si>
    <t>Рост затрат на ремонт помещений КРС</t>
  </si>
  <si>
    <t>Всего</t>
  </si>
  <si>
    <t>Рост затрат на прочие</t>
  </si>
  <si>
    <t>Рост цен на семена</t>
  </si>
  <si>
    <t>Рост затрат на механизированные услуги</t>
  </si>
  <si>
    <t>Рост цен на электроэнергии</t>
  </si>
  <si>
    <t>Рост прочих затрат</t>
  </si>
  <si>
    <t>Рост затрат на семена</t>
  </si>
  <si>
    <t>Рост затрат на электроэнергию</t>
  </si>
  <si>
    <t>Рост затрат на природный газ</t>
  </si>
  <si>
    <t>Цена на природный газ</t>
  </si>
  <si>
    <t>Рост затрат на фонд заработной платы</t>
  </si>
  <si>
    <t>Ставка единого налога</t>
  </si>
  <si>
    <t>Единый налоговый платеж</t>
  </si>
  <si>
    <t>м3/сутки</t>
  </si>
  <si>
    <t>Количество отапливаемых дней</t>
  </si>
  <si>
    <t>сутки</t>
  </si>
  <si>
    <t>Количество работников</t>
  </si>
  <si>
    <t>Отчисления во внебюджетный фонд</t>
  </si>
  <si>
    <t>Жмых</t>
  </si>
  <si>
    <t>Единый налоговый платеж,
сум</t>
  </si>
  <si>
    <t>Доходы, всего</t>
  </si>
  <si>
    <t>Итоговые денежные потоки, сум</t>
  </si>
  <si>
    <t>Ставка единого налогового платежа (налог на валовую выручку)</t>
  </si>
  <si>
    <t>1-й год</t>
  </si>
  <si>
    <t>2-й год</t>
  </si>
  <si>
    <t>3-й год</t>
  </si>
  <si>
    <t>Налогооблагаемая база - реализация мяса, молока, пшеницы и помидоров</t>
  </si>
  <si>
    <t>Цена за 1 кг жмыха</t>
  </si>
  <si>
    <t>Изменение цены на жмых</t>
  </si>
  <si>
    <t>Прочие затраты (эксплуатация теплицы и др.)</t>
  </si>
  <si>
    <t>Прочие затрат (эксплуатация теплицы и др.)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</si>
</sst>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%"/>
  </numFmts>
  <fonts count="3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 Cyr"/>
    </font>
    <font>
      <sz val="12"/>
      <color theme="1"/>
      <name val="Times New Roman"/>
    </font>
    <font>
      <b/>
      <sz val="14"/>
      <color theme="1"/>
      <name val="Times New Roman"/>
    </font>
    <font>
      <b/>
      <sz val="12"/>
      <color theme="1"/>
      <name val="Times New Roman"/>
    </font>
    <font>
      <b/>
      <i/>
      <sz val="12"/>
      <color theme="1"/>
      <name val="Times New Roman"/>
    </font>
    <font>
      <sz val="14"/>
      <name val="Times New Roman"/>
    </font>
    <font>
      <b/>
      <sz val="12"/>
      <name val="Times New Roman"/>
    </font>
    <font>
      <sz val="12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name val="Times New Roman"/>
    </font>
    <font>
      <sz val="14"/>
      <color theme="1"/>
      <name val="Times New Roman"/>
    </font>
    <font>
      <i/>
      <sz val="14"/>
      <color theme="1"/>
      <name val="Times New Roman"/>
    </font>
    <font>
      <b/>
      <i/>
      <sz val="14"/>
      <color theme="1"/>
      <name val="Times New Roman"/>
    </font>
    <font>
      <i/>
      <sz val="14"/>
      <color rgb="FF211E1E"/>
      <name val="Times New Roman"/>
    </font>
    <font>
      <sz val="14"/>
      <color rgb="FFFF0000"/>
      <name val="Times New Roman"/>
    </font>
    <font>
      <b/>
      <i/>
      <sz val="14"/>
      <name val="Times New Roman"/>
    </font>
    <font>
      <i/>
      <sz val="14"/>
      <name val="Times New Roman"/>
    </font>
    <font>
      <b/>
      <sz val="12"/>
      <color indexed="8"/>
      <name val="Times New Roman"/>
    </font>
    <font>
      <b/>
      <i/>
      <sz val="13"/>
      <color theme="1"/>
      <name val="Times New Roman"/>
    </font>
    <font>
      <sz val="13"/>
      <color theme="1"/>
      <name val="Times New Roman"/>
    </font>
    <font>
      <sz val="14"/>
      <color rgb="FF000000"/>
      <name val="Times New Roman"/>
    </font>
    <font>
      <b/>
      <sz val="13"/>
      <color theme="1"/>
      <name val="Times New Roman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rgb="FF000000"/>
      <name val="Times New Roman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235">
    <xf numFmtId="0" fontId="0" fillId="0" borderId="0"/>
    <xf numFmtId="0" fontId="4" fillId="0" borderId="0"/>
    <xf numFmtId="0" fontId="3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07">
    <xf numFmtId="0" fontId="0" fillId="0" borderId="0" xfId="0"/>
    <xf numFmtId="0" fontId="5" fillId="0" borderId="0" xfId="2" applyFont="1"/>
    <xf numFmtId="0" fontId="3" fillId="0" borderId="0" xfId="2"/>
    <xf numFmtId="0" fontId="5" fillId="0" borderId="0" xfId="2" applyFont="1" applyBorder="1"/>
    <xf numFmtId="0" fontId="7" fillId="0" borderId="0" xfId="2" applyFont="1" applyBorder="1" applyAlignment="1">
      <alignment horizontal="center" vertical="center" wrapText="1"/>
    </xf>
    <xf numFmtId="0" fontId="7" fillId="0" borderId="0" xfId="2" applyFont="1" applyBorder="1" applyAlignment="1">
      <alignment vertical="center"/>
    </xf>
    <xf numFmtId="0" fontId="5" fillId="0" borderId="0" xfId="2" applyFont="1" applyBorder="1" applyAlignment="1">
      <alignment horizontal="center" vertical="center" wrapText="1"/>
    </xf>
    <xf numFmtId="0" fontId="5" fillId="0" borderId="0" xfId="2" applyFont="1" applyBorder="1" applyAlignment="1">
      <alignment vertical="center" wrapText="1"/>
    </xf>
    <xf numFmtId="1" fontId="5" fillId="0" borderId="0" xfId="2" applyNumberFormat="1" applyFont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 wrapText="1"/>
    </xf>
    <xf numFmtId="1" fontId="8" fillId="2" borderId="0" xfId="2" applyNumberFormat="1" applyFont="1" applyFill="1" applyBorder="1" applyAlignment="1">
      <alignment horizontal="center" vertical="center" wrapText="1"/>
    </xf>
    <xf numFmtId="0" fontId="3" fillId="0" borderId="0" xfId="2" applyBorder="1"/>
    <xf numFmtId="0" fontId="7" fillId="0" borderId="0" xfId="2" applyFont="1" applyBorder="1" applyAlignment="1">
      <alignment horizontal="left" vertical="center"/>
    </xf>
    <xf numFmtId="0" fontId="7" fillId="0" borderId="0" xfId="2" applyFont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 wrapText="1"/>
    </xf>
    <xf numFmtId="0" fontId="7" fillId="0" borderId="0" xfId="2" applyFont="1" applyBorder="1" applyAlignment="1">
      <alignment vertical="center" wrapText="1"/>
    </xf>
    <xf numFmtId="0" fontId="7" fillId="3" borderId="0" xfId="2" applyFont="1" applyFill="1" applyBorder="1" applyAlignment="1">
      <alignment vertical="center"/>
    </xf>
    <xf numFmtId="0" fontId="7" fillId="0" borderId="0" xfId="2" applyFont="1" applyBorder="1" applyAlignment="1">
      <alignment horizontal="right" vertical="center" wrapText="1"/>
    </xf>
    <xf numFmtId="0" fontId="8" fillId="3" borderId="0" xfId="2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5" fillId="4" borderId="0" xfId="2" applyFont="1" applyFill="1" applyBorder="1" applyAlignment="1">
      <alignment horizontal="center" vertical="center" wrapText="1"/>
    </xf>
    <xf numFmtId="0" fontId="8" fillId="0" borderId="0" xfId="2" applyFont="1" applyBorder="1" applyAlignment="1">
      <alignment vertical="center"/>
    </xf>
    <xf numFmtId="0" fontId="8" fillId="4" borderId="0" xfId="2" applyFont="1" applyFill="1" applyBorder="1" applyAlignment="1">
      <alignment vertical="center"/>
    </xf>
    <xf numFmtId="0" fontId="7" fillId="4" borderId="0" xfId="2" applyFont="1" applyFill="1" applyBorder="1" applyAlignment="1">
      <alignment horizontal="center" vertical="center" wrapText="1"/>
    </xf>
    <xf numFmtId="0" fontId="7" fillId="4" borderId="0" xfId="2" applyFont="1" applyFill="1" applyBorder="1" applyAlignment="1">
      <alignment vertical="center"/>
    </xf>
    <xf numFmtId="0" fontId="7" fillId="4" borderId="0" xfId="2" applyFont="1" applyFill="1" applyBorder="1" applyAlignment="1">
      <alignment vertical="center" wrapText="1"/>
    </xf>
    <xf numFmtId="0" fontId="9" fillId="0" borderId="0" xfId="1" applyFont="1"/>
    <xf numFmtId="0" fontId="11" fillId="0" borderId="0" xfId="1" applyFont="1"/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165" fontId="15" fillId="0" borderId="0" xfId="9" applyNumberFormat="1" applyFont="1" applyAlignment="1">
      <alignment vertical="center" wrapText="1"/>
    </xf>
    <xf numFmtId="0" fontId="17" fillId="0" borderId="0" xfId="0" applyFont="1" applyAlignment="1">
      <alignment vertical="top" wrapText="1"/>
    </xf>
    <xf numFmtId="0" fontId="16" fillId="0" borderId="0" xfId="0" applyFont="1" applyAlignment="1">
      <alignment horizontal="center" vertical="center" wrapText="1"/>
    </xf>
    <xf numFmtId="9" fontId="15" fillId="0" borderId="0" xfId="0" applyNumberFormat="1" applyFont="1" applyAlignment="1">
      <alignment vertical="center" wrapText="1"/>
    </xf>
    <xf numFmtId="1" fontId="15" fillId="0" borderId="0" xfId="9" applyNumberFormat="1" applyFont="1" applyAlignment="1">
      <alignment horizontal="center" vertical="top" wrapText="1"/>
    </xf>
    <xf numFmtId="165" fontId="6" fillId="0" borderId="0" xfId="0" applyNumberFormat="1" applyFont="1" applyAlignment="1">
      <alignment vertical="center" wrapText="1"/>
    </xf>
    <xf numFmtId="1" fontId="15" fillId="4" borderId="0" xfId="9" applyNumberFormat="1" applyFont="1" applyFill="1" applyAlignment="1">
      <alignment vertical="center" wrapText="1"/>
    </xf>
    <xf numFmtId="1" fontId="6" fillId="4" borderId="0" xfId="9" applyNumberFormat="1" applyFont="1" applyFill="1" applyAlignment="1">
      <alignment vertical="center" wrapText="1"/>
    </xf>
    <xf numFmtId="1" fontId="15" fillId="0" borderId="0" xfId="9" applyNumberFormat="1" applyFont="1" applyAlignment="1">
      <alignment vertical="center" wrapText="1"/>
    </xf>
    <xf numFmtId="0" fontId="16" fillId="0" borderId="0" xfId="0" applyFont="1" applyAlignment="1">
      <alignment vertical="top" wrapText="1"/>
    </xf>
    <xf numFmtId="0" fontId="15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37" fontId="6" fillId="0" borderId="0" xfId="0" applyNumberFormat="1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9" fillId="0" borderId="0" xfId="1" applyFont="1" applyFill="1"/>
    <xf numFmtId="0" fontId="1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" fontId="15" fillId="4" borderId="0" xfId="0" applyNumberFormat="1" applyFont="1" applyFill="1" applyAlignment="1">
      <alignment vertical="center" wrapText="1"/>
    </xf>
    <xf numFmtId="1" fontId="6" fillId="4" borderId="0" xfId="0" applyNumberFormat="1" applyFont="1" applyFill="1" applyAlignment="1">
      <alignment vertical="center" wrapText="1"/>
    </xf>
    <xf numFmtId="1" fontId="6" fillId="4" borderId="0" xfId="0" applyNumberFormat="1" applyFont="1" applyFill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left" vertical="top" wrapText="1"/>
    </xf>
    <xf numFmtId="1" fontId="11" fillId="2" borderId="1" xfId="1" applyNumberFormat="1" applyFont="1" applyFill="1" applyBorder="1" applyAlignment="1">
      <alignment vertical="center" wrapText="1"/>
    </xf>
    <xf numFmtId="1" fontId="11" fillId="0" borderId="1" xfId="1" applyNumberFormat="1" applyFont="1" applyFill="1" applyBorder="1" applyAlignment="1">
      <alignment vertical="center" wrapText="1"/>
    </xf>
    <xf numFmtId="0" fontId="11" fillId="0" borderId="1" xfId="1" applyFont="1" applyBorder="1"/>
    <xf numFmtId="0" fontId="11" fillId="0" borderId="1" xfId="1" applyFont="1" applyBorder="1" applyAlignment="1">
      <alignment vertical="top" wrapText="1"/>
    </xf>
    <xf numFmtId="0" fontId="10" fillId="0" borderId="1" xfId="1" applyFont="1" applyBorder="1" applyAlignment="1">
      <alignment vertical="top" wrapText="1"/>
    </xf>
    <xf numFmtId="1" fontId="10" fillId="2" borderId="1" xfId="1" applyNumberFormat="1" applyFont="1" applyFill="1" applyBorder="1" applyAlignment="1">
      <alignment vertical="center" wrapText="1"/>
    </xf>
    <xf numFmtId="1" fontId="10" fillId="2" borderId="1" xfId="1" applyNumberFormat="1" applyFont="1" applyFill="1" applyBorder="1" applyAlignment="1">
      <alignment horizontal="center" vertical="center" wrapText="1"/>
    </xf>
    <xf numFmtId="1" fontId="10" fillId="2" borderId="1" xfId="1" applyNumberFormat="1" applyFont="1" applyFill="1" applyBorder="1"/>
    <xf numFmtId="0" fontId="21" fillId="0" borderId="0" xfId="1" applyFont="1"/>
    <xf numFmtId="0" fontId="9" fillId="0" borderId="0" xfId="1" applyFont="1" applyFill="1" applyAlignment="1">
      <alignment horizontal="right"/>
    </xf>
    <xf numFmtId="0" fontId="21" fillId="0" borderId="0" xfId="1" applyFont="1" applyFill="1"/>
    <xf numFmtId="0" fontId="5" fillId="0" borderId="0" xfId="2" applyFont="1" applyAlignment="1">
      <alignment horizontal="center" vertical="center" wrapText="1"/>
    </xf>
    <xf numFmtId="0" fontId="5" fillId="0" borderId="0" xfId="2" applyFont="1" applyAlignment="1">
      <alignment vertical="center"/>
    </xf>
    <xf numFmtId="0" fontId="5" fillId="0" borderId="0" xfId="2" applyFont="1" applyAlignment="1">
      <alignment vertical="center" wrapText="1"/>
    </xf>
    <xf numFmtId="0" fontId="7" fillId="0" borderId="0" xfId="2" applyFont="1" applyAlignment="1">
      <alignment horizontal="center" vertical="center" wrapText="1"/>
    </xf>
    <xf numFmtId="0" fontId="7" fillId="0" borderId="0" xfId="2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1" fontId="15" fillId="4" borderId="1" xfId="0" applyNumberFormat="1" applyFont="1" applyFill="1" applyBorder="1" applyAlignment="1">
      <alignment horizontal="center" vertical="center" wrapText="1"/>
    </xf>
    <xf numFmtId="1" fontId="15" fillId="4" borderId="1" xfId="9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4" borderId="1" xfId="9" applyNumberFormat="1" applyFont="1" applyFill="1" applyBorder="1" applyAlignment="1">
      <alignment horizontal="center" vertical="center" wrapText="1"/>
    </xf>
    <xf numFmtId="37" fontId="15" fillId="4" borderId="1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164" fontId="5" fillId="2" borderId="1" xfId="2" applyNumberFormat="1" applyFont="1" applyFill="1" applyBorder="1" applyAlignment="1">
      <alignment horizontal="center" vertical="center" wrapText="1"/>
    </xf>
    <xf numFmtId="1" fontId="5" fillId="2" borderId="1" xfId="2" applyNumberFormat="1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164" fontId="7" fillId="0" borderId="0" xfId="2" applyNumberFormat="1" applyFont="1" applyFill="1" applyBorder="1" applyAlignment="1">
      <alignment horizontal="center" vertical="center" wrapText="1"/>
    </xf>
    <xf numFmtId="1" fontId="7" fillId="0" borderId="0" xfId="2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4" fontId="9" fillId="0" borderId="0" xfId="1" applyNumberFormat="1" applyFont="1"/>
    <xf numFmtId="0" fontId="9" fillId="0" borderId="1" xfId="1" applyFont="1" applyFill="1" applyBorder="1"/>
    <xf numFmtId="0" fontId="9" fillId="0" borderId="1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 vertical="center"/>
    </xf>
    <xf numFmtId="1" fontId="9" fillId="0" borderId="1" xfId="1" applyNumberFormat="1" applyFont="1" applyFill="1" applyBorder="1" applyAlignment="1">
      <alignment vertical="center"/>
    </xf>
    <xf numFmtId="1" fontId="14" fillId="0" borderId="1" xfId="1" applyNumberFormat="1" applyFont="1" applyFill="1" applyBorder="1"/>
    <xf numFmtId="0" fontId="9" fillId="0" borderId="1" xfId="1" applyFont="1" applyFill="1" applyBorder="1" applyAlignment="1">
      <alignment vertical="center"/>
    </xf>
    <xf numFmtId="1" fontId="9" fillId="0" borderId="1" xfId="1" applyNumberFormat="1" applyFont="1" applyFill="1" applyBorder="1"/>
    <xf numFmtId="1" fontId="9" fillId="0" borderId="1" xfId="9" applyNumberFormat="1" applyFont="1" applyFill="1" applyBorder="1" applyAlignment="1">
      <alignment horizontal="right" vertical="center"/>
    </xf>
    <xf numFmtId="1" fontId="9" fillId="0" borderId="1" xfId="9" applyNumberFormat="1" applyFont="1" applyFill="1" applyBorder="1" applyAlignment="1">
      <alignment vertical="center"/>
    </xf>
    <xf numFmtId="0" fontId="7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vertical="center" wrapText="1"/>
    </xf>
    <xf numFmtId="1" fontId="5" fillId="0" borderId="1" xfId="2" applyNumberFormat="1" applyFont="1" applyBorder="1" applyAlignment="1">
      <alignment horizontal="center" vertical="center" wrapText="1"/>
    </xf>
    <xf numFmtId="0" fontId="14" fillId="4" borderId="1" xfId="1" applyFont="1" applyFill="1" applyBorder="1"/>
    <xf numFmtId="1" fontId="14" fillId="4" borderId="1" xfId="1" applyNumberFormat="1" applyFont="1" applyFill="1" applyBorder="1"/>
    <xf numFmtId="1" fontId="9" fillId="4" borderId="1" xfId="1" applyNumberFormat="1" applyFont="1" applyFill="1" applyBorder="1" applyAlignment="1">
      <alignment vertical="center"/>
    </xf>
    <xf numFmtId="0" fontId="20" fillId="5" borderId="1" xfId="1" applyFont="1" applyFill="1" applyBorder="1"/>
    <xf numFmtId="1" fontId="14" fillId="5" borderId="1" xfId="1" applyNumberFormat="1" applyFont="1" applyFill="1" applyBorder="1"/>
    <xf numFmtId="1" fontId="21" fillId="5" borderId="1" xfId="1" applyNumberFormat="1" applyFont="1" applyFill="1" applyBorder="1" applyAlignment="1">
      <alignment vertical="center"/>
    </xf>
    <xf numFmtId="1" fontId="20" fillId="5" borderId="1" xfId="1" applyNumberFormat="1" applyFont="1" applyFill="1" applyBorder="1"/>
    <xf numFmtId="1" fontId="9" fillId="4" borderId="1" xfId="1" applyNumberFormat="1" applyFont="1" applyFill="1" applyBorder="1"/>
    <xf numFmtId="1" fontId="9" fillId="4" borderId="1" xfId="9" applyNumberFormat="1" applyFont="1" applyFill="1" applyBorder="1" applyAlignment="1">
      <alignment vertical="center"/>
    </xf>
    <xf numFmtId="1" fontId="14" fillId="4" borderId="1" xfId="9" applyNumberFormat="1" applyFont="1" applyFill="1" applyBorder="1" applyAlignment="1">
      <alignment vertical="center"/>
    </xf>
    <xf numFmtId="1" fontId="21" fillId="5" borderId="1" xfId="1" applyNumberFormat="1" applyFont="1" applyFill="1" applyBorder="1"/>
    <xf numFmtId="1" fontId="21" fillId="5" borderId="1" xfId="9" applyNumberFormat="1" applyFont="1" applyFill="1" applyBorder="1" applyAlignment="1">
      <alignment vertical="center"/>
    </xf>
    <xf numFmtId="0" fontId="15" fillId="0" borderId="0" xfId="0" applyFont="1" applyAlignment="1">
      <alignment vertical="top" wrapText="1"/>
    </xf>
    <xf numFmtId="1" fontId="15" fillId="4" borderId="0" xfId="9" applyNumberFormat="1" applyFont="1" applyFill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37" fontId="6" fillId="4" borderId="1" xfId="0" applyNumberFormat="1" applyFont="1" applyFill="1" applyBorder="1" applyAlignment="1">
      <alignment horizontal="center" vertical="center" wrapText="1"/>
    </xf>
    <xf numFmtId="1" fontId="15" fillId="4" borderId="1" xfId="0" applyNumberFormat="1" applyFont="1" applyFill="1" applyBorder="1" applyAlignment="1">
      <alignment horizontal="center" wrapText="1"/>
    </xf>
    <xf numFmtId="164" fontId="15" fillId="4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7" fillId="0" borderId="0" xfId="2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 indent="2"/>
    </xf>
    <xf numFmtId="0" fontId="15" fillId="0" borderId="0" xfId="0" applyFont="1" applyAlignment="1">
      <alignment horizontal="left" vertical="center" wrapText="1" indent="7"/>
    </xf>
    <xf numFmtId="0" fontId="9" fillId="0" borderId="0" xfId="1" applyFont="1" applyFill="1" applyBorder="1"/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top" wrapText="1"/>
    </xf>
    <xf numFmtId="0" fontId="21" fillId="0" borderId="1" xfId="1" applyFont="1" applyFill="1" applyBorder="1"/>
    <xf numFmtId="1" fontId="21" fillId="0" borderId="1" xfId="1" applyNumberFormat="1" applyFont="1" applyFill="1" applyBorder="1"/>
    <xf numFmtId="1" fontId="21" fillId="0" borderId="1" xfId="1" applyNumberFormat="1" applyFont="1" applyFill="1" applyBorder="1" applyAlignment="1">
      <alignment vertical="center"/>
    </xf>
    <xf numFmtId="0" fontId="9" fillId="0" borderId="1" xfId="1" applyFont="1" applyBorder="1"/>
    <xf numFmtId="166" fontId="14" fillId="0" borderId="1" xfId="514" applyNumberFormat="1" applyFont="1" applyFill="1" applyBorder="1"/>
    <xf numFmtId="0" fontId="14" fillId="0" borderId="1" xfId="1" applyFont="1" applyBorder="1"/>
    <xf numFmtId="0" fontId="15" fillId="0" borderId="1" xfId="0" applyFont="1" applyBorder="1" applyAlignment="1">
      <alignment horizontal="center" vertical="center" wrapText="1"/>
    </xf>
    <xf numFmtId="0" fontId="25" fillId="0" borderId="5" xfId="0" applyFont="1" applyBorder="1" applyAlignment="1">
      <alignment vertical="top" wrapText="1"/>
    </xf>
    <xf numFmtId="0" fontId="25" fillId="0" borderId="6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0" fontId="14" fillId="0" borderId="0" xfId="1" applyFont="1"/>
    <xf numFmtId="0" fontId="26" fillId="0" borderId="1" xfId="2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3" fontId="24" fillId="0" borderId="0" xfId="0" applyNumberFormat="1" applyFont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3" fontId="24" fillId="0" borderId="0" xfId="9" applyNumberFormat="1" applyFont="1" applyAlignment="1">
      <alignment horizontal="right" vertical="center" wrapText="1"/>
    </xf>
    <xf numFmtId="3" fontId="24" fillId="0" borderId="0" xfId="0" applyNumberFormat="1" applyFont="1" applyAlignment="1">
      <alignment horizontal="center" vertical="center" wrapText="1"/>
    </xf>
    <xf numFmtId="3" fontId="26" fillId="0" borderId="0" xfId="9" applyNumberFormat="1" applyFont="1" applyAlignment="1">
      <alignment horizontal="right" vertical="center" wrapText="1"/>
    </xf>
    <xf numFmtId="3" fontId="24" fillId="0" borderId="1" xfId="0" applyNumberFormat="1" applyFont="1" applyBorder="1" applyAlignment="1">
      <alignment vertical="center" wrapText="1"/>
    </xf>
    <xf numFmtId="3" fontId="26" fillId="0" borderId="1" xfId="0" applyNumberFormat="1" applyFont="1" applyBorder="1" applyAlignment="1">
      <alignment vertical="center" wrapText="1"/>
    </xf>
    <xf numFmtId="3" fontId="24" fillId="0" borderId="1" xfId="0" applyNumberFormat="1" applyFont="1" applyBorder="1" applyAlignment="1">
      <alignment horizontal="right" vertical="center" wrapText="1"/>
    </xf>
    <xf numFmtId="0" fontId="15" fillId="0" borderId="2" xfId="0" applyFont="1" applyBorder="1" applyAlignment="1">
      <alignment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165" fontId="24" fillId="0" borderId="1" xfId="9" applyNumberFormat="1" applyFont="1" applyBorder="1" applyAlignment="1">
      <alignment horizontal="right" vertical="center" wrapText="1"/>
    </xf>
    <xf numFmtId="3" fontId="26" fillId="0" borderId="1" xfId="0" applyNumberFormat="1" applyFont="1" applyBorder="1" applyAlignment="1">
      <alignment horizontal="right" vertical="center" wrapText="1"/>
    </xf>
    <xf numFmtId="3" fontId="24" fillId="0" borderId="1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165" fontId="24" fillId="0" borderId="0" xfId="9" applyNumberFormat="1" applyFont="1" applyBorder="1" applyAlignment="1">
      <alignment horizontal="right" vertical="center" wrapText="1"/>
    </xf>
    <xf numFmtId="3" fontId="24" fillId="0" borderId="0" xfId="0" applyNumberFormat="1" applyFont="1" applyBorder="1" applyAlignment="1">
      <alignment vertical="center" wrapText="1"/>
    </xf>
    <xf numFmtId="3" fontId="26" fillId="0" borderId="0" xfId="0" applyNumberFormat="1" applyFont="1" applyBorder="1" applyAlignment="1">
      <alignment vertical="center" wrapText="1"/>
    </xf>
    <xf numFmtId="165" fontId="26" fillId="0" borderId="1" xfId="9" applyNumberFormat="1" applyFont="1" applyBorder="1" applyAlignment="1">
      <alignment horizontal="right" vertical="center" wrapText="1"/>
    </xf>
    <xf numFmtId="0" fontId="26" fillId="0" borderId="0" xfId="0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3" fontId="23" fillId="0" borderId="1" xfId="0" applyNumberFormat="1" applyFont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1" fontId="24" fillId="0" borderId="1" xfId="0" applyNumberFormat="1" applyFont="1" applyBorder="1" applyAlignment="1">
      <alignment horizontal="center" vertical="center" wrapText="1"/>
    </xf>
    <xf numFmtId="1" fontId="26" fillId="0" borderId="1" xfId="0" applyNumberFormat="1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top" wrapText="1"/>
    </xf>
    <xf numFmtId="0" fontId="29" fillId="0" borderId="3" xfId="0" applyFont="1" applyBorder="1" applyAlignment="1">
      <alignment horizontal="center" vertical="top" wrapText="1"/>
    </xf>
    <xf numFmtId="0" fontId="29" fillId="0" borderId="4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0" xfId="2" applyFont="1" applyBorder="1" applyAlignment="1">
      <alignment horizontal="right" vertical="center" wrapText="1"/>
    </xf>
    <xf numFmtId="0" fontId="6" fillId="0" borderId="0" xfId="2" applyFont="1" applyAlignment="1">
      <alignment horizontal="center" vertical="center"/>
    </xf>
    <xf numFmtId="0" fontId="9" fillId="0" borderId="0" xfId="1" applyFont="1" applyAlignment="1">
      <alignment vertical="center" wrapText="1"/>
    </xf>
    <xf numFmtId="0" fontId="7" fillId="0" borderId="0" xfId="2" applyFont="1" applyAlignment="1">
      <alignment horizontal="left" vertical="center"/>
    </xf>
    <xf numFmtId="0" fontId="5" fillId="0" borderId="0" xfId="2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3" fontId="26" fillId="0" borderId="1" xfId="9" applyNumberFormat="1" applyFont="1" applyBorder="1" applyAlignment="1">
      <alignment horizontal="right" vertical="center" wrapText="1"/>
    </xf>
    <xf numFmtId="165" fontId="26" fillId="0" borderId="1" xfId="9" applyNumberFormat="1" applyFont="1" applyBorder="1" applyAlignment="1">
      <alignment horizontal="center" vertical="center" wrapText="1"/>
    </xf>
    <xf numFmtId="1" fontId="26" fillId="0" borderId="1" xfId="0" applyNumberFormat="1" applyFont="1" applyBorder="1" applyAlignment="1">
      <alignment vertical="center" wrapText="1"/>
    </xf>
  </cellXfs>
  <cellStyles count="1235">
    <cellStyle name="Comma" xfId="9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Hyperlink" xfId="3" builtinId="8" hidden="1"/>
    <cellStyle name="Hyperlink" xfId="5" builtinId="8" hidden="1"/>
    <cellStyle name="Hyperlink" xfId="7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Normal" xfId="0" builtinId="0"/>
    <cellStyle name="Normal 2" xfId="1"/>
    <cellStyle name="Normal 2 2" xfId="2"/>
    <cellStyle name="Percent" xfId="514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7"/>
  <sheetViews>
    <sheetView zoomScale="125" zoomScaleNormal="125" zoomScalePageLayoutView="125" workbookViewId="0">
      <pane xSplit="2" ySplit="2" topLeftCell="C16" activePane="bottomRight" state="frozen"/>
      <selection activeCell="A6" sqref="A6:XFD6"/>
      <selection pane="topRight" activeCell="A6" sqref="A6:XFD6"/>
      <selection pane="bottomLeft" activeCell="A6" sqref="A6:XFD6"/>
      <selection pane="bottomRight" activeCell="C108" sqref="C108"/>
    </sheetView>
  </sheetViews>
  <sheetFormatPr baseColWidth="10" defaultColWidth="15.83203125" defaultRowHeight="16" x14ac:dyDescent="0"/>
  <cols>
    <col min="1" max="1" width="5.6640625" style="30" customWidth="1"/>
    <col min="2" max="2" width="40" style="30" customWidth="1"/>
    <col min="3" max="3" width="50.5" style="30" customWidth="1"/>
    <col min="4" max="4" width="84" style="30" customWidth="1"/>
    <col min="5" max="16384" width="15.83203125" style="30"/>
  </cols>
  <sheetData>
    <row r="2" spans="1:4" ht="31" customHeight="1">
      <c r="A2" s="29" t="s">
        <v>1</v>
      </c>
      <c r="B2" s="29" t="s">
        <v>214</v>
      </c>
      <c r="C2" s="29" t="s">
        <v>213</v>
      </c>
      <c r="D2" s="29" t="s">
        <v>206</v>
      </c>
    </row>
    <row r="3" spans="1:4" ht="64">
      <c r="A3" s="29">
        <v>1</v>
      </c>
      <c r="B3" s="135" t="s">
        <v>324</v>
      </c>
      <c r="C3" s="29"/>
      <c r="D3" s="134" t="s">
        <v>329</v>
      </c>
    </row>
    <row r="4" spans="1:4" ht="31" customHeight="1">
      <c r="A4" s="29"/>
      <c r="B4" s="135"/>
      <c r="C4" s="135" t="s">
        <v>150</v>
      </c>
      <c r="D4" s="134" t="s">
        <v>325</v>
      </c>
    </row>
    <row r="5" spans="1:4">
      <c r="A5" s="29"/>
      <c r="B5" s="135"/>
      <c r="C5" s="135" t="s">
        <v>151</v>
      </c>
      <c r="D5" s="134" t="s">
        <v>330</v>
      </c>
    </row>
    <row r="6" spans="1:4" ht="31" customHeight="1">
      <c r="A6" s="29"/>
      <c r="B6" s="135"/>
      <c r="C6" s="135" t="s">
        <v>284</v>
      </c>
      <c r="D6" s="134" t="s">
        <v>326</v>
      </c>
    </row>
    <row r="7" spans="1:4" ht="96">
      <c r="A7" s="29">
        <v>2</v>
      </c>
      <c r="B7" s="30" t="s">
        <v>207</v>
      </c>
      <c r="D7" s="123" t="s">
        <v>215</v>
      </c>
    </row>
    <row r="8" spans="1:4" ht="32">
      <c r="A8" s="29"/>
      <c r="C8" s="30" t="s">
        <v>216</v>
      </c>
      <c r="D8" s="123" t="s">
        <v>217</v>
      </c>
    </row>
    <row r="9" spans="1:4" ht="32">
      <c r="A9" s="29"/>
      <c r="C9" s="30" t="s">
        <v>151</v>
      </c>
      <c r="D9" s="123" t="s">
        <v>218</v>
      </c>
    </row>
    <row r="10" spans="1:4">
      <c r="A10" s="29"/>
      <c r="C10" s="30" t="s">
        <v>4</v>
      </c>
      <c r="D10" s="123" t="s">
        <v>219</v>
      </c>
    </row>
    <row r="11" spans="1:4" ht="32">
      <c r="A11" s="29"/>
      <c r="C11" s="30" t="s">
        <v>220</v>
      </c>
      <c r="D11" s="123" t="s">
        <v>445</v>
      </c>
    </row>
    <row r="12" spans="1:4" ht="48">
      <c r="A12" s="29"/>
      <c r="C12" s="30" t="s">
        <v>221</v>
      </c>
      <c r="D12" s="123" t="s">
        <v>222</v>
      </c>
    </row>
    <row r="13" spans="1:4" ht="96">
      <c r="A13" s="29">
        <v>3</v>
      </c>
      <c r="B13" s="30" t="s">
        <v>208</v>
      </c>
      <c r="D13" s="123" t="s">
        <v>328</v>
      </c>
    </row>
    <row r="14" spans="1:4" ht="32">
      <c r="A14" s="29"/>
      <c r="C14" s="30" t="s">
        <v>2</v>
      </c>
      <c r="D14" s="123" t="s">
        <v>332</v>
      </c>
    </row>
    <row r="15" spans="1:4" ht="32">
      <c r="A15" s="29"/>
      <c r="C15" s="30" t="s">
        <v>151</v>
      </c>
      <c r="D15" s="123" t="s">
        <v>218</v>
      </c>
    </row>
    <row r="16" spans="1:4">
      <c r="A16" s="29"/>
      <c r="C16" s="30" t="s">
        <v>4</v>
      </c>
      <c r="D16" s="123" t="s">
        <v>219</v>
      </c>
    </row>
    <row r="17" spans="1:4" ht="32">
      <c r="A17" s="29"/>
      <c r="C17" s="30" t="s">
        <v>220</v>
      </c>
      <c r="D17" s="123" t="s">
        <v>327</v>
      </c>
    </row>
    <row r="18" spans="1:4" ht="32">
      <c r="A18" s="29"/>
      <c r="C18" s="30" t="s">
        <v>221</v>
      </c>
      <c r="D18" s="123" t="s">
        <v>331</v>
      </c>
    </row>
    <row r="19" spans="1:4" ht="32">
      <c r="A19" s="29">
        <v>4</v>
      </c>
      <c r="B19" s="30" t="s">
        <v>209</v>
      </c>
      <c r="D19" s="123" t="s">
        <v>337</v>
      </c>
    </row>
    <row r="20" spans="1:4">
      <c r="A20" s="29"/>
      <c r="C20" s="30" t="s">
        <v>150</v>
      </c>
      <c r="D20" s="123" t="s">
        <v>333</v>
      </c>
    </row>
    <row r="21" spans="1:4">
      <c r="A21" s="29"/>
      <c r="C21" s="30" t="s">
        <v>223</v>
      </c>
      <c r="D21" s="123" t="s">
        <v>334</v>
      </c>
    </row>
    <row r="22" spans="1:4">
      <c r="A22" s="29"/>
      <c r="C22" s="30" t="s">
        <v>224</v>
      </c>
      <c r="D22" s="123" t="s">
        <v>335</v>
      </c>
    </row>
    <row r="23" spans="1:4" ht="32">
      <c r="A23" s="29"/>
      <c r="C23" s="30" t="s">
        <v>225</v>
      </c>
      <c r="D23" s="123" t="s">
        <v>336</v>
      </c>
    </row>
    <row r="24" spans="1:4" ht="48">
      <c r="A24" s="29">
        <v>5</v>
      </c>
      <c r="B24" s="30" t="s">
        <v>230</v>
      </c>
      <c r="D24" s="123" t="s">
        <v>339</v>
      </c>
    </row>
    <row r="25" spans="1:4" ht="48">
      <c r="A25" s="29"/>
      <c r="C25" s="30" t="s">
        <v>338</v>
      </c>
      <c r="D25" s="123" t="s">
        <v>345</v>
      </c>
    </row>
    <row r="26" spans="1:4" ht="48">
      <c r="A26" s="29"/>
      <c r="C26" s="30" t="s">
        <v>340</v>
      </c>
      <c r="D26" s="123" t="s">
        <v>341</v>
      </c>
    </row>
    <row r="27" spans="1:4" ht="32">
      <c r="A27" s="29"/>
      <c r="C27" s="30" t="s">
        <v>344</v>
      </c>
      <c r="D27" s="123" t="s">
        <v>342</v>
      </c>
    </row>
    <row r="28" spans="1:4" ht="32">
      <c r="A28" s="29"/>
      <c r="C28" s="30" t="s">
        <v>231</v>
      </c>
      <c r="D28" s="123" t="s">
        <v>343</v>
      </c>
    </row>
    <row r="29" spans="1:4" ht="32">
      <c r="A29" s="29"/>
      <c r="C29" s="30" t="s">
        <v>232</v>
      </c>
      <c r="D29" s="123" t="s">
        <v>346</v>
      </c>
    </row>
    <row r="30" spans="1:4" ht="32">
      <c r="A30" s="29"/>
      <c r="C30" s="30" t="s">
        <v>233</v>
      </c>
      <c r="D30" s="123" t="s">
        <v>351</v>
      </c>
    </row>
    <row r="31" spans="1:4" ht="64">
      <c r="A31" s="29"/>
      <c r="C31" s="30" t="s">
        <v>234</v>
      </c>
      <c r="D31" s="123" t="s">
        <v>347</v>
      </c>
    </row>
    <row r="32" spans="1:4" ht="48">
      <c r="A32" s="29"/>
      <c r="C32" s="30" t="s">
        <v>348</v>
      </c>
      <c r="D32" s="123" t="s">
        <v>349</v>
      </c>
    </row>
    <row r="33" spans="1:4" ht="32">
      <c r="A33" s="29"/>
      <c r="C33" s="30" t="s">
        <v>235</v>
      </c>
      <c r="D33" s="123" t="s">
        <v>350</v>
      </c>
    </row>
    <row r="34" spans="1:4" ht="80">
      <c r="A34" s="29"/>
      <c r="C34" s="30" t="s">
        <v>352</v>
      </c>
      <c r="D34" s="123" t="s">
        <v>356</v>
      </c>
    </row>
    <row r="35" spans="1:4" ht="32">
      <c r="A35" s="29"/>
      <c r="C35" s="30" t="s">
        <v>355</v>
      </c>
      <c r="D35" s="123" t="s">
        <v>357</v>
      </c>
    </row>
    <row r="36" spans="1:4" ht="32">
      <c r="A36" s="29">
        <v>6</v>
      </c>
      <c r="B36" s="30" t="s">
        <v>210</v>
      </c>
      <c r="D36" s="123" t="s">
        <v>360</v>
      </c>
    </row>
    <row r="37" spans="1:4" ht="64">
      <c r="A37" s="29"/>
      <c r="C37" s="30" t="s">
        <v>226</v>
      </c>
      <c r="D37" s="123" t="s">
        <v>361</v>
      </c>
    </row>
    <row r="38" spans="1:4">
      <c r="A38" s="29"/>
      <c r="C38" s="30" t="s">
        <v>227</v>
      </c>
      <c r="D38" s="123" t="s">
        <v>362</v>
      </c>
    </row>
    <row r="39" spans="1:4" ht="48">
      <c r="A39" s="29">
        <v>7</v>
      </c>
      <c r="B39" s="30" t="s">
        <v>211</v>
      </c>
      <c r="D39" s="123" t="s">
        <v>403</v>
      </c>
    </row>
    <row r="40" spans="1:4" ht="48">
      <c r="A40" s="29"/>
      <c r="C40" s="30" t="s">
        <v>228</v>
      </c>
      <c r="D40" s="123" t="s">
        <v>368</v>
      </c>
    </row>
    <row r="41" spans="1:4" ht="48">
      <c r="A41" s="29"/>
      <c r="C41" s="30" t="s">
        <v>229</v>
      </c>
      <c r="D41" s="123" t="s">
        <v>367</v>
      </c>
    </row>
    <row r="42" spans="1:4" ht="32">
      <c r="A42" s="29"/>
      <c r="C42" s="30" t="s">
        <v>363</v>
      </c>
      <c r="D42" s="123" t="s">
        <v>369</v>
      </c>
    </row>
    <row r="43" spans="1:4">
      <c r="A43" s="29"/>
      <c r="C43" s="30" t="s">
        <v>170</v>
      </c>
      <c r="D43" s="123" t="s">
        <v>370</v>
      </c>
    </row>
    <row r="44" spans="1:4" ht="48">
      <c r="A44" s="29"/>
      <c r="C44" s="30" t="s">
        <v>364</v>
      </c>
      <c r="D44" s="123" t="s">
        <v>371</v>
      </c>
    </row>
    <row r="45" spans="1:4">
      <c r="A45" s="29"/>
      <c r="C45" s="30" t="s">
        <v>365</v>
      </c>
      <c r="D45" s="123" t="s">
        <v>372</v>
      </c>
    </row>
    <row r="46" spans="1:4" ht="32">
      <c r="A46" s="29"/>
      <c r="C46" s="30" t="s">
        <v>366</v>
      </c>
      <c r="D46" s="123" t="s">
        <v>373</v>
      </c>
    </row>
    <row r="47" spans="1:4" ht="32">
      <c r="A47" s="29">
        <v>8</v>
      </c>
      <c r="B47" s="30" t="s">
        <v>212</v>
      </c>
      <c r="D47" s="123" t="s">
        <v>374</v>
      </c>
    </row>
    <row r="48" spans="1:4" ht="48">
      <c r="A48" s="29"/>
      <c r="B48" s="136" t="s">
        <v>258</v>
      </c>
      <c r="C48" s="123"/>
      <c r="D48" s="123" t="s">
        <v>393</v>
      </c>
    </row>
    <row r="49" spans="1:4">
      <c r="A49" s="29"/>
      <c r="B49" s="136"/>
      <c r="C49" s="30" t="s">
        <v>338</v>
      </c>
      <c r="D49" s="123" t="s">
        <v>375</v>
      </c>
    </row>
    <row r="50" spans="1:4" ht="64">
      <c r="A50" s="29"/>
      <c r="C50" s="30" t="s">
        <v>236</v>
      </c>
      <c r="D50" s="123" t="s">
        <v>380</v>
      </c>
    </row>
    <row r="51" spans="1:4" ht="48">
      <c r="A51" s="29"/>
      <c r="C51" s="30" t="s">
        <v>237</v>
      </c>
      <c r="D51" s="123" t="s">
        <v>376</v>
      </c>
    </row>
    <row r="52" spans="1:4" ht="32">
      <c r="A52" s="29"/>
      <c r="C52" s="30" t="s">
        <v>238</v>
      </c>
      <c r="D52" s="123" t="s">
        <v>378</v>
      </c>
    </row>
    <row r="53" spans="1:4">
      <c r="A53" s="29"/>
      <c r="C53" s="30" t="s">
        <v>239</v>
      </c>
      <c r="D53" s="123" t="s">
        <v>377</v>
      </c>
    </row>
    <row r="54" spans="1:4" ht="32">
      <c r="A54" s="29"/>
      <c r="C54" s="30" t="s">
        <v>240</v>
      </c>
      <c r="D54" s="123" t="s">
        <v>379</v>
      </c>
    </row>
    <row r="55" spans="1:4" ht="48">
      <c r="A55" s="29"/>
      <c r="B55" s="136" t="s">
        <v>275</v>
      </c>
      <c r="D55" s="123" t="s">
        <v>411</v>
      </c>
    </row>
    <row r="56" spans="1:4">
      <c r="A56" s="29"/>
      <c r="C56" s="30" t="s">
        <v>338</v>
      </c>
      <c r="D56" s="123" t="s">
        <v>390</v>
      </c>
    </row>
    <row r="57" spans="1:4" ht="48">
      <c r="A57" s="29"/>
      <c r="C57" s="30" t="s">
        <v>241</v>
      </c>
      <c r="D57" s="123" t="s">
        <v>386</v>
      </c>
    </row>
    <row r="58" spans="1:4">
      <c r="A58" s="29"/>
      <c r="C58" s="30" t="s">
        <v>175</v>
      </c>
      <c r="D58" s="123" t="s">
        <v>387</v>
      </c>
    </row>
    <row r="59" spans="1:4" ht="64">
      <c r="A59" s="29"/>
      <c r="C59" s="30" t="s">
        <v>383</v>
      </c>
      <c r="D59" s="123" t="s">
        <v>388</v>
      </c>
    </row>
    <row r="60" spans="1:4" ht="32">
      <c r="A60" s="29"/>
      <c r="C60" s="30" t="s">
        <v>384</v>
      </c>
      <c r="D60" s="123" t="s">
        <v>389</v>
      </c>
    </row>
    <row r="61" spans="1:4" ht="32">
      <c r="A61" s="29"/>
      <c r="C61" s="30" t="s">
        <v>242</v>
      </c>
      <c r="D61" s="123" t="s">
        <v>391</v>
      </c>
    </row>
    <row r="62" spans="1:4" ht="48">
      <c r="A62" s="29"/>
      <c r="B62" s="136" t="s">
        <v>155</v>
      </c>
      <c r="D62" s="123" t="s">
        <v>402</v>
      </c>
    </row>
    <row r="63" spans="1:4" ht="32">
      <c r="A63" s="29"/>
      <c r="B63" s="137" t="s">
        <v>202</v>
      </c>
      <c r="D63" s="123" t="s">
        <v>412</v>
      </c>
    </row>
    <row r="64" spans="1:4">
      <c r="A64" s="29"/>
      <c r="B64" s="137"/>
      <c r="C64" s="30" t="s">
        <v>338</v>
      </c>
      <c r="D64" s="123" t="s">
        <v>399</v>
      </c>
    </row>
    <row r="65" spans="1:4" ht="32">
      <c r="A65" s="29"/>
      <c r="C65" s="30" t="s">
        <v>243</v>
      </c>
      <c r="D65" s="123" t="s">
        <v>394</v>
      </c>
    </row>
    <row r="66" spans="1:4" ht="32">
      <c r="A66" s="29"/>
      <c r="C66" s="30" t="s">
        <v>237</v>
      </c>
      <c r="D66" s="123" t="s">
        <v>395</v>
      </c>
    </row>
    <row r="67" spans="1:4">
      <c r="A67" s="29"/>
      <c r="C67" s="30" t="s">
        <v>244</v>
      </c>
      <c r="D67" s="123" t="s">
        <v>396</v>
      </c>
    </row>
    <row r="68" spans="1:4" ht="48">
      <c r="A68" s="29"/>
      <c r="C68" s="30" t="s">
        <v>245</v>
      </c>
      <c r="D68" s="123" t="s">
        <v>405</v>
      </c>
    </row>
    <row r="69" spans="1:4" ht="32">
      <c r="A69" s="29"/>
      <c r="C69" s="30" t="s">
        <v>246</v>
      </c>
      <c r="D69" s="123" t="s">
        <v>397</v>
      </c>
    </row>
    <row r="70" spans="1:4">
      <c r="A70" s="29"/>
      <c r="C70" s="30" t="s">
        <v>247</v>
      </c>
      <c r="D70" s="123" t="s">
        <v>377</v>
      </c>
    </row>
    <row r="71" spans="1:4" ht="32">
      <c r="A71" s="29"/>
      <c r="C71" s="30" t="s">
        <v>248</v>
      </c>
      <c r="D71" s="123" t="s">
        <v>398</v>
      </c>
    </row>
    <row r="72" spans="1:4" ht="32">
      <c r="A72" s="29"/>
      <c r="B72" s="137" t="s">
        <v>392</v>
      </c>
      <c r="D72" s="123" t="s">
        <v>410</v>
      </c>
    </row>
    <row r="73" spans="1:4">
      <c r="A73" s="29"/>
      <c r="B73" s="137"/>
      <c r="C73" s="30" t="s">
        <v>338</v>
      </c>
      <c r="D73" s="123" t="s">
        <v>399</v>
      </c>
    </row>
    <row r="74" spans="1:4" ht="32">
      <c r="A74" s="29"/>
      <c r="C74" s="30" t="s">
        <v>249</v>
      </c>
      <c r="D74" s="123" t="s">
        <v>400</v>
      </c>
    </row>
    <row r="75" spans="1:4" ht="48">
      <c r="A75" s="29"/>
      <c r="C75" s="30" t="s">
        <v>237</v>
      </c>
      <c r="D75" s="123" t="s">
        <v>401</v>
      </c>
    </row>
    <row r="76" spans="1:4">
      <c r="A76" s="29"/>
      <c r="C76" s="30" t="s">
        <v>244</v>
      </c>
      <c r="D76" s="123" t="s">
        <v>406</v>
      </c>
    </row>
    <row r="77" spans="1:4" ht="48">
      <c r="A77" s="29"/>
      <c r="C77" s="30" t="s">
        <v>250</v>
      </c>
      <c r="D77" s="123" t="s">
        <v>404</v>
      </c>
    </row>
    <row r="78" spans="1:4" ht="32">
      <c r="A78" s="29"/>
      <c r="C78" s="30" t="s">
        <v>251</v>
      </c>
      <c r="D78" s="123" t="s">
        <v>407</v>
      </c>
    </row>
    <row r="79" spans="1:4">
      <c r="A79" s="29"/>
      <c r="C79" s="30" t="s">
        <v>252</v>
      </c>
      <c r="D79" s="123" t="s">
        <v>408</v>
      </c>
    </row>
    <row r="80" spans="1:4" ht="32">
      <c r="A80" s="29"/>
      <c r="C80" s="30" t="s">
        <v>248</v>
      </c>
      <c r="D80" s="123" t="s">
        <v>409</v>
      </c>
    </row>
    <row r="81" spans="1:4" ht="32">
      <c r="A81" s="29"/>
      <c r="B81" s="136" t="s">
        <v>253</v>
      </c>
      <c r="D81" s="123" t="s">
        <v>413</v>
      </c>
    </row>
    <row r="82" spans="1:4">
      <c r="A82" s="29"/>
      <c r="C82" s="30" t="s">
        <v>338</v>
      </c>
      <c r="D82" s="123" t="s">
        <v>399</v>
      </c>
    </row>
    <row r="83" spans="1:4">
      <c r="A83" s="29"/>
      <c r="C83" s="30" t="s">
        <v>414</v>
      </c>
      <c r="D83" s="123" t="s">
        <v>419</v>
      </c>
    </row>
    <row r="84" spans="1:4" ht="32">
      <c r="A84" s="29"/>
      <c r="C84" s="30" t="s">
        <v>415</v>
      </c>
      <c r="D84" s="123" t="s">
        <v>423</v>
      </c>
    </row>
    <row r="85" spans="1:4" ht="32">
      <c r="A85" s="29"/>
      <c r="C85" s="30" t="s">
        <v>417</v>
      </c>
      <c r="D85" s="123" t="s">
        <v>420</v>
      </c>
    </row>
    <row r="86" spans="1:4" ht="32">
      <c r="A86" s="29"/>
      <c r="C86" s="30" t="s">
        <v>254</v>
      </c>
      <c r="D86" s="123" t="s">
        <v>425</v>
      </c>
    </row>
    <row r="87" spans="1:4" ht="32">
      <c r="A87" s="29"/>
      <c r="C87" s="30" t="s">
        <v>418</v>
      </c>
      <c r="D87" s="123" t="s">
        <v>426</v>
      </c>
    </row>
    <row r="88" spans="1:4" ht="48">
      <c r="A88" s="29">
        <v>9</v>
      </c>
      <c r="B88" s="30" t="s">
        <v>535</v>
      </c>
      <c r="D88" s="123" t="s">
        <v>536</v>
      </c>
    </row>
    <row r="89" spans="1:4" s="139" customFormat="1">
      <c r="A89" s="86"/>
      <c r="B89" s="138"/>
      <c r="C89" s="30" t="s">
        <v>141</v>
      </c>
      <c r="D89" s="140" t="s">
        <v>427</v>
      </c>
    </row>
    <row r="90" spans="1:4" s="139" customFormat="1">
      <c r="A90" s="86"/>
      <c r="B90" s="138"/>
      <c r="C90" s="30" t="s">
        <v>173</v>
      </c>
      <c r="D90" s="140" t="s">
        <v>428</v>
      </c>
    </row>
    <row r="91" spans="1:4" s="139" customFormat="1">
      <c r="A91" s="86"/>
      <c r="B91" s="138"/>
      <c r="C91" s="30" t="s">
        <v>200</v>
      </c>
      <c r="D91" s="140" t="s">
        <v>431</v>
      </c>
    </row>
    <row r="92" spans="1:4" s="139" customFormat="1" ht="32">
      <c r="A92" s="86"/>
      <c r="B92" s="138"/>
      <c r="C92" s="30" t="s">
        <v>199</v>
      </c>
      <c r="D92" s="140" t="s">
        <v>430</v>
      </c>
    </row>
    <row r="93" spans="1:4" s="139" customFormat="1">
      <c r="A93" s="86"/>
      <c r="B93" s="138"/>
      <c r="C93" s="30" t="s">
        <v>192</v>
      </c>
      <c r="D93" s="140" t="s">
        <v>432</v>
      </c>
    </row>
    <row r="94" spans="1:4" s="139" customFormat="1">
      <c r="A94" s="86"/>
      <c r="B94" s="138"/>
      <c r="C94" s="30" t="s">
        <v>142</v>
      </c>
      <c r="D94" s="140" t="s">
        <v>429</v>
      </c>
    </row>
    <row r="95" spans="1:4" s="139" customFormat="1">
      <c r="A95" s="86"/>
      <c r="B95" s="138"/>
      <c r="C95" s="30" t="s">
        <v>143</v>
      </c>
      <c r="D95" s="140" t="s">
        <v>433</v>
      </c>
    </row>
    <row r="96" spans="1:4" s="139" customFormat="1">
      <c r="A96" s="86"/>
      <c r="B96" s="138"/>
      <c r="C96" s="30" t="s">
        <v>144</v>
      </c>
      <c r="D96" s="140" t="s">
        <v>444</v>
      </c>
    </row>
    <row r="97" spans="1:4" s="139" customFormat="1">
      <c r="B97" s="138"/>
      <c r="C97" s="30" t="s">
        <v>161</v>
      </c>
      <c r="D97" s="140" t="s">
        <v>437</v>
      </c>
    </row>
    <row r="98" spans="1:4" s="139" customFormat="1" ht="48">
      <c r="B98" s="138"/>
      <c r="C98" s="30" t="s">
        <v>201</v>
      </c>
      <c r="D98" s="140" t="s">
        <v>438</v>
      </c>
    </row>
    <row r="99" spans="1:4" s="139" customFormat="1" ht="32">
      <c r="B99" s="138"/>
      <c r="C99" s="30" t="s">
        <v>261</v>
      </c>
      <c r="D99" s="140" t="s">
        <v>441</v>
      </c>
    </row>
    <row r="100" spans="1:4" s="139" customFormat="1">
      <c r="B100" s="138"/>
      <c r="C100" s="30" t="s">
        <v>170</v>
      </c>
      <c r="D100" s="140" t="s">
        <v>439</v>
      </c>
    </row>
    <row r="101" spans="1:4" s="139" customFormat="1">
      <c r="B101" s="138"/>
      <c r="C101" s="30" t="s">
        <v>442</v>
      </c>
      <c r="D101" s="140" t="s">
        <v>440</v>
      </c>
    </row>
    <row r="102" spans="1:4" s="139" customFormat="1" ht="32">
      <c r="B102" s="138"/>
      <c r="C102" s="30" t="s">
        <v>195</v>
      </c>
      <c r="D102" s="140" t="s">
        <v>443</v>
      </c>
    </row>
    <row r="103" spans="1:4" s="139" customFormat="1">
      <c r="C103" s="30" t="s">
        <v>146</v>
      </c>
      <c r="D103" s="140" t="s">
        <v>436</v>
      </c>
    </row>
    <row r="104" spans="1:4" s="139" customFormat="1" ht="32">
      <c r="C104" s="30" t="s">
        <v>434</v>
      </c>
      <c r="D104" s="139" t="s">
        <v>435</v>
      </c>
    </row>
    <row r="105" spans="1:4" ht="64">
      <c r="A105" s="29">
        <v>10</v>
      </c>
      <c r="B105" s="30" t="s">
        <v>537</v>
      </c>
      <c r="D105" s="30" t="s">
        <v>538</v>
      </c>
    </row>
    <row r="107" spans="1:4" ht="48">
      <c r="A107" s="29">
        <v>11</v>
      </c>
      <c r="B107" s="30" t="s">
        <v>472</v>
      </c>
      <c r="D107" s="30" t="s">
        <v>539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"/>
  <sheetViews>
    <sheetView zoomScale="125" zoomScaleNormal="125" zoomScalePageLayoutView="125" workbookViewId="0">
      <selection activeCell="D14" sqref="D14"/>
    </sheetView>
  </sheetViews>
  <sheetFormatPr baseColWidth="10" defaultRowHeight="16" x14ac:dyDescent="0"/>
  <cols>
    <col min="1" max="1" width="10.83203125" style="26"/>
    <col min="2" max="2" width="56.6640625" style="26" customWidth="1"/>
    <col min="3" max="3" width="12.1640625" style="26" customWidth="1"/>
    <col min="4" max="6" width="14.1640625" style="26" bestFit="1" customWidth="1"/>
    <col min="7" max="7" width="14.83203125" style="51" customWidth="1"/>
    <col min="8" max="16384" width="10.83203125" style="26"/>
  </cols>
  <sheetData>
    <row r="2" spans="2:12">
      <c r="B2" s="151" t="s">
        <v>467</v>
      </c>
    </row>
    <row r="4" spans="2:12">
      <c r="G4" s="69" t="s">
        <v>260</v>
      </c>
    </row>
    <row r="5" spans="2:12">
      <c r="B5" s="99" t="s">
        <v>141</v>
      </c>
      <c r="C5" s="100"/>
      <c r="D5" s="101">
        <v>1</v>
      </c>
      <c r="E5" s="101">
        <v>2</v>
      </c>
      <c r="F5" s="101">
        <v>3</v>
      </c>
      <c r="G5" s="100" t="s">
        <v>166</v>
      </c>
      <c r="H5" s="51"/>
      <c r="I5" s="51"/>
    </row>
    <row r="6" spans="2:12">
      <c r="B6" s="99" t="s">
        <v>173</v>
      </c>
      <c r="C6" s="99"/>
      <c r="D6" s="102">
        <f>Выгоды!G13</f>
        <v>9695076.7500000019</v>
      </c>
      <c r="E6" s="102">
        <f>Выгоды!G14</f>
        <v>15093945.9</v>
      </c>
      <c r="F6" s="102">
        <f>Выгоды!G15</f>
        <v>16603340.49</v>
      </c>
      <c r="G6" s="103">
        <f>SUM(D6:F6)</f>
        <v>41392363.140000001</v>
      </c>
      <c r="H6" s="51"/>
      <c r="I6" s="98"/>
      <c r="J6" s="98"/>
      <c r="K6" s="98"/>
      <c r="L6" s="98"/>
    </row>
    <row r="7" spans="2:12">
      <c r="B7" s="99" t="s">
        <v>200</v>
      </c>
      <c r="C7" s="99"/>
      <c r="D7" s="104">
        <f>Выгоды!I23</f>
        <v>2250000</v>
      </c>
      <c r="E7" s="104">
        <f>Выгоды!I24</f>
        <v>2700000</v>
      </c>
      <c r="F7" s="104">
        <f>Выгоды!I25</f>
        <v>3240000</v>
      </c>
      <c r="G7" s="103">
        <f t="shared" ref="G7:G17" si="0">SUM(D7:F7)</f>
        <v>8190000</v>
      </c>
      <c r="H7" s="51"/>
      <c r="I7" s="98"/>
      <c r="J7" s="98"/>
      <c r="K7" s="98"/>
      <c r="L7" s="98"/>
    </row>
    <row r="8" spans="2:12">
      <c r="B8" s="99" t="s">
        <v>199</v>
      </c>
      <c r="C8" s="99"/>
      <c r="D8" s="104">
        <f>Выгоды!I31</f>
        <v>1200000</v>
      </c>
      <c r="E8" s="104">
        <f>Выгоды!I32</f>
        <v>1440000</v>
      </c>
      <c r="F8" s="104">
        <f>Выгоды!I33</f>
        <v>1728000</v>
      </c>
      <c r="G8" s="103">
        <f t="shared" si="0"/>
        <v>4368000</v>
      </c>
      <c r="H8" s="51"/>
      <c r="I8" s="98"/>
      <c r="J8" s="98"/>
      <c r="K8" s="98"/>
      <c r="L8" s="98"/>
    </row>
    <row r="9" spans="2:12">
      <c r="B9" s="99" t="s">
        <v>192</v>
      </c>
      <c r="C9" s="99"/>
      <c r="D9" s="104">
        <f>Выгоды!G4</f>
        <v>1890000</v>
      </c>
      <c r="E9" s="104">
        <f>Выгоды!G5</f>
        <v>2268000</v>
      </c>
      <c r="F9" s="104">
        <f>Выгоды!G6</f>
        <v>2721600</v>
      </c>
      <c r="G9" s="103">
        <f t="shared" si="0"/>
        <v>6879600</v>
      </c>
      <c r="H9" s="51"/>
      <c r="I9" s="98"/>
      <c r="J9" s="98"/>
      <c r="K9" s="98"/>
      <c r="L9" s="98"/>
    </row>
    <row r="10" spans="2:12">
      <c r="B10" s="99" t="s">
        <v>142</v>
      </c>
      <c r="C10" s="99"/>
      <c r="D10" s="102">
        <f>Выгоды!G41</f>
        <v>806133.66749999998</v>
      </c>
      <c r="E10" s="102">
        <f>Выгоды!G42</f>
        <v>1289813.8679999998</v>
      </c>
      <c r="F10" s="102">
        <f>Выгоды!G43</f>
        <v>1547776.6415999997</v>
      </c>
      <c r="G10" s="103">
        <f t="shared" si="0"/>
        <v>3643724.1770999995</v>
      </c>
      <c r="H10" s="51"/>
      <c r="I10" s="98"/>
      <c r="J10" s="98"/>
      <c r="K10" s="98"/>
      <c r="L10" s="98"/>
    </row>
    <row r="11" spans="2:12">
      <c r="B11" s="111" t="s">
        <v>143</v>
      </c>
      <c r="C11" s="112"/>
      <c r="D11" s="113">
        <f>SUM(D6:D10)</f>
        <v>15841210.417500002</v>
      </c>
      <c r="E11" s="113">
        <f>SUM(E6:E10)</f>
        <v>22791759.767999999</v>
      </c>
      <c r="F11" s="113">
        <f>SUM(F6:F10)</f>
        <v>25840717.1316</v>
      </c>
      <c r="G11" s="112">
        <f t="shared" si="0"/>
        <v>64473687.317100003</v>
      </c>
      <c r="H11" s="51"/>
      <c r="I11" s="98"/>
      <c r="J11" s="98"/>
      <c r="K11" s="98"/>
      <c r="L11" s="98"/>
    </row>
    <row r="12" spans="2:12">
      <c r="B12" s="114" t="s">
        <v>144</v>
      </c>
      <c r="C12" s="115"/>
      <c r="D12" s="116">
        <f>SUM(D13:D14)</f>
        <v>6332556.9074999997</v>
      </c>
      <c r="E12" s="116">
        <f t="shared" ref="E12:F12" si="1">SUM(E13:E14)</f>
        <v>6818455.1310000001</v>
      </c>
      <c r="F12" s="116">
        <f t="shared" si="1"/>
        <v>6954300.6441000002</v>
      </c>
      <c r="G12" s="117">
        <f t="shared" si="0"/>
        <v>20105312.682599999</v>
      </c>
      <c r="H12" s="51"/>
      <c r="I12" s="98"/>
      <c r="J12" s="98"/>
      <c r="K12" s="98"/>
      <c r="L12" s="98"/>
    </row>
    <row r="13" spans="2:12">
      <c r="B13" s="99" t="s">
        <v>526</v>
      </c>
      <c r="C13" s="105"/>
      <c r="D13" s="106">
        <f>'Текущие затраты на БГУ'!C13</f>
        <v>6000000</v>
      </c>
      <c r="E13" s="107">
        <f>'Текущие затраты на БГУ'!C13</f>
        <v>6000000</v>
      </c>
      <c r="F13" s="107">
        <f>'Текущие затраты на БГУ'!C13</f>
        <v>6000000</v>
      </c>
      <c r="G13" s="103">
        <f t="shared" si="0"/>
        <v>18000000</v>
      </c>
      <c r="H13" s="51"/>
      <c r="I13" s="98"/>
      <c r="J13" s="98"/>
      <c r="K13" s="98"/>
      <c r="L13" s="98"/>
    </row>
    <row r="14" spans="2:12">
      <c r="B14" s="99" t="s">
        <v>201</v>
      </c>
      <c r="C14" s="105"/>
      <c r="D14" s="107">
        <f>(D6-D13)*'Исходные данные'!$D$99/100</f>
        <v>332556.90750000015</v>
      </c>
      <c r="E14" s="107">
        <f>(E6-E13)*'Исходные данные'!$D$99/100</f>
        <v>818455.13100000005</v>
      </c>
      <c r="F14" s="107">
        <f>(F6-F13)*'Исходные данные'!$D$99/100</f>
        <v>954300.64409999992</v>
      </c>
      <c r="G14" s="103">
        <f t="shared" si="0"/>
        <v>2105312.6825999999</v>
      </c>
      <c r="H14" s="51"/>
      <c r="I14" s="98"/>
      <c r="J14" s="98"/>
      <c r="K14" s="98"/>
      <c r="L14" s="98"/>
    </row>
    <row r="15" spans="2:12">
      <c r="B15" s="111" t="s">
        <v>261</v>
      </c>
      <c r="C15" s="118"/>
      <c r="D15" s="119">
        <f>D11-SUM(D13:D14)</f>
        <v>9508653.5100000016</v>
      </c>
      <c r="E15" s="119">
        <f>E11-SUM(E13:E14)</f>
        <v>15973304.636999998</v>
      </c>
      <c r="F15" s="119">
        <f>F11-SUM(F13:F14)</f>
        <v>18886416.487500001</v>
      </c>
      <c r="G15" s="120">
        <f>G11-SUM(G13:G14)</f>
        <v>44368374.634500004</v>
      </c>
      <c r="H15" s="51"/>
      <c r="I15" s="98"/>
      <c r="J15" s="98"/>
      <c r="K15" s="98"/>
      <c r="L15" s="98"/>
    </row>
    <row r="16" spans="2:12" s="68" customFormat="1">
      <c r="B16" s="114" t="s">
        <v>170</v>
      </c>
      <c r="C16" s="121"/>
      <c r="D16" s="122">
        <f>Кредит!C11</f>
        <v>18000000</v>
      </c>
      <c r="E16" s="122">
        <f>Кредит!D11</f>
        <v>26400000</v>
      </c>
      <c r="F16" s="122">
        <f>Кредит!E11</f>
        <v>23200000</v>
      </c>
      <c r="G16" s="117">
        <f t="shared" si="0"/>
        <v>67600000</v>
      </c>
      <c r="H16" s="70"/>
      <c r="I16" s="98"/>
      <c r="J16" s="98"/>
      <c r="K16" s="98"/>
      <c r="L16" s="98"/>
    </row>
    <row r="17" spans="2:12">
      <c r="B17" s="111" t="s">
        <v>442</v>
      </c>
      <c r="C17" s="112"/>
      <c r="D17" s="119">
        <f>D15-D16</f>
        <v>-8491346.4899999984</v>
      </c>
      <c r="E17" s="119">
        <f t="shared" ref="E17:F17" si="2">E15-E16</f>
        <v>-10426695.363000002</v>
      </c>
      <c r="F17" s="119">
        <f t="shared" si="2"/>
        <v>-4313583.5124999993</v>
      </c>
      <c r="G17" s="112">
        <f t="shared" si="0"/>
        <v>-23231625.365499999</v>
      </c>
      <c r="H17" s="51"/>
      <c r="I17" s="98"/>
      <c r="J17" s="98"/>
      <c r="K17" s="98"/>
      <c r="L17" s="98"/>
    </row>
    <row r="18" spans="2:12">
      <c r="B18" s="99" t="s">
        <v>195</v>
      </c>
      <c r="C18" s="103"/>
      <c r="D18" s="104"/>
      <c r="E18" s="104"/>
      <c r="F18" s="104"/>
      <c r="G18" s="103">
        <f>NPV(0.14, D17, E17, F17)</f>
        <v>-18383099.067408051</v>
      </c>
      <c r="H18" s="51"/>
      <c r="I18" s="98"/>
      <c r="J18" s="98"/>
      <c r="K18" s="98"/>
      <c r="L18" s="98"/>
    </row>
    <row r="19" spans="2:12" s="51" customFormat="1">
      <c r="B19" s="141" t="s">
        <v>146</v>
      </c>
      <c r="C19" s="142"/>
      <c r="D19" s="143"/>
      <c r="E19" s="143"/>
      <c r="F19" s="143"/>
      <c r="G19" s="142">
        <f>'Всего инвестиции на БГУ'!$B$5</f>
        <v>50000000</v>
      </c>
      <c r="I19" s="98"/>
      <c r="J19" s="98"/>
      <c r="K19" s="98"/>
      <c r="L19" s="98"/>
    </row>
    <row r="20" spans="2:12">
      <c r="B20" s="146" t="s">
        <v>434</v>
      </c>
      <c r="C20" s="144"/>
      <c r="D20" s="144"/>
      <c r="E20" s="144"/>
      <c r="F20" s="144"/>
      <c r="G20" s="145">
        <f>G18/G19</f>
        <v>-0.36766198134816103</v>
      </c>
    </row>
    <row r="21" spans="2:12">
      <c r="D21" s="98"/>
    </row>
  </sheetData>
  <sheetProtection sheet="1" objects="1" scenarios="1"/>
  <pageMargins left="0.75" right="0.75" top="1" bottom="1" header="0.5" footer="0.5"/>
  <pageSetup orientation="portrait" horizontalDpi="4294967292" verticalDpi="4294967292"/>
  <ignoredErrors>
    <ignoredError sqref="G13:G14 G16 G10" emptyCellReference="1"/>
    <ignoredError sqref="D11:F11" formulaRange="1" emptyCellReference="1"/>
    <ignoredError sqref="G15" formula="1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86"/>
  <sheetViews>
    <sheetView zoomScale="125" zoomScaleNormal="125" zoomScalePageLayoutView="125" workbookViewId="0">
      <selection activeCell="C3" sqref="C3"/>
    </sheetView>
  </sheetViews>
  <sheetFormatPr baseColWidth="10" defaultRowHeight="16" x14ac:dyDescent="0"/>
  <cols>
    <col min="1" max="1" width="0.1640625" style="155" customWidth="1"/>
    <col min="2" max="2" width="29.33203125" style="155" customWidth="1"/>
    <col min="3" max="3" width="18.1640625" style="155" customWidth="1"/>
    <col min="4" max="4" width="21.1640625" style="155" customWidth="1"/>
    <col min="5" max="5" width="20.5" style="155" customWidth="1"/>
    <col min="6" max="7" width="16.6640625" style="155" customWidth="1"/>
    <col min="8" max="8" width="10.83203125" style="155"/>
    <col min="9" max="9" width="13.5" style="155" customWidth="1"/>
    <col min="10" max="16384" width="10.83203125" style="155"/>
  </cols>
  <sheetData>
    <row r="2" spans="2:7" ht="32">
      <c r="B2" s="154" t="s">
        <v>465</v>
      </c>
      <c r="C2" s="154"/>
      <c r="D2" s="154"/>
    </row>
    <row r="4" spans="2:7" ht="48">
      <c r="B4" s="153" t="s">
        <v>461</v>
      </c>
      <c r="C4" s="152" t="s">
        <v>468</v>
      </c>
      <c r="D4" s="152" t="s">
        <v>469</v>
      </c>
      <c r="E4" s="153" t="s">
        <v>482</v>
      </c>
      <c r="F4" s="153" t="s">
        <v>487</v>
      </c>
      <c r="G4" s="153" t="s">
        <v>176</v>
      </c>
    </row>
    <row r="5" spans="2:7">
      <c r="B5" s="158" t="s">
        <v>582</v>
      </c>
      <c r="C5" s="158">
        <f>'Исходные данные'!$D$26</f>
        <v>10</v>
      </c>
      <c r="D5" s="158">
        <f>'Исходные данные'!$D$27</f>
        <v>400</v>
      </c>
      <c r="E5" s="158">
        <f>C5*D5</f>
        <v>4000</v>
      </c>
      <c r="F5" s="158">
        <f>'Исходные данные'!D35</f>
        <v>11000</v>
      </c>
      <c r="G5" s="164">
        <f>E5*F5</f>
        <v>44000000</v>
      </c>
    </row>
    <row r="6" spans="2:7">
      <c r="B6" s="158" t="s">
        <v>583</v>
      </c>
      <c r="C6" s="158">
        <f>'Исходные данные'!$D$26</f>
        <v>10</v>
      </c>
      <c r="D6" s="158">
        <f>'Исходные данные'!$D$27</f>
        <v>400</v>
      </c>
      <c r="E6" s="158">
        <f t="shared" ref="E6:E7" si="0">C6*D6</f>
        <v>4000</v>
      </c>
      <c r="F6" s="158">
        <f>F5+(F5*'Исходные данные'!D36/100)</f>
        <v>13200</v>
      </c>
      <c r="G6" s="164">
        <f t="shared" ref="G6:G7" si="1">E6*F6</f>
        <v>52800000</v>
      </c>
    </row>
    <row r="7" spans="2:7">
      <c r="B7" s="158" t="s">
        <v>584</v>
      </c>
      <c r="C7" s="158">
        <f>'Исходные данные'!$D$26</f>
        <v>10</v>
      </c>
      <c r="D7" s="158">
        <f>'Исходные данные'!$D$27</f>
        <v>400</v>
      </c>
      <c r="E7" s="158">
        <f t="shared" si="0"/>
        <v>4000</v>
      </c>
      <c r="F7" s="158">
        <f>F6+(F6*'Исходные данные'!D36/100)</f>
        <v>15840</v>
      </c>
      <c r="G7" s="164">
        <f t="shared" si="1"/>
        <v>63360000</v>
      </c>
    </row>
    <row r="8" spans="2:7">
      <c r="B8" s="153" t="s">
        <v>166</v>
      </c>
      <c r="C8" s="153"/>
      <c r="D8" s="153"/>
      <c r="E8" s="160"/>
      <c r="F8" s="160"/>
      <c r="G8" s="165">
        <f>SUM(G5:G7)</f>
        <v>160160000</v>
      </c>
    </row>
    <row r="10" spans="2:7" ht="48">
      <c r="B10" s="153" t="s">
        <v>462</v>
      </c>
      <c r="C10" s="152" t="s">
        <v>468</v>
      </c>
      <c r="D10" s="152" t="s">
        <v>494</v>
      </c>
      <c r="E10" s="153" t="s">
        <v>481</v>
      </c>
      <c r="F10" s="153" t="s">
        <v>488</v>
      </c>
      <c r="G10" s="153" t="s">
        <v>176</v>
      </c>
    </row>
    <row r="11" spans="2:7">
      <c r="B11" s="158" t="s">
        <v>582</v>
      </c>
      <c r="C11" s="158">
        <f>'Исходные данные'!$D$28</f>
        <v>40</v>
      </c>
      <c r="D11" s="158">
        <f>'Исходные данные'!$D$29</f>
        <v>1200</v>
      </c>
      <c r="E11" s="158">
        <f>C11*D11</f>
        <v>48000</v>
      </c>
      <c r="F11" s="158">
        <f>'Исходные данные'!D37</f>
        <v>1000</v>
      </c>
      <c r="G11" s="164">
        <f t="shared" ref="G11:G13" si="2">E11*F11</f>
        <v>48000000</v>
      </c>
    </row>
    <row r="12" spans="2:7">
      <c r="B12" s="158" t="s">
        <v>583</v>
      </c>
      <c r="C12" s="158">
        <f>'Исходные данные'!$D$28</f>
        <v>40</v>
      </c>
      <c r="D12" s="158">
        <f>'Исходные данные'!$D$29</f>
        <v>1200</v>
      </c>
      <c r="E12" s="158">
        <f t="shared" ref="E12:E13" si="3">C12*D12</f>
        <v>48000</v>
      </c>
      <c r="F12" s="158">
        <f>F11+(F11*'Исходные данные'!D38/100)</f>
        <v>1200</v>
      </c>
      <c r="G12" s="164">
        <f t="shared" si="2"/>
        <v>57600000</v>
      </c>
    </row>
    <row r="13" spans="2:7">
      <c r="B13" s="158" t="s">
        <v>584</v>
      </c>
      <c r="C13" s="158">
        <f>'Исходные данные'!$D$28</f>
        <v>40</v>
      </c>
      <c r="D13" s="158">
        <f>'Исходные данные'!$D$29</f>
        <v>1200</v>
      </c>
      <c r="E13" s="158">
        <f t="shared" si="3"/>
        <v>48000</v>
      </c>
      <c r="F13" s="158">
        <f>F12+(F12*'Исходные данные'!D38/100)</f>
        <v>1440</v>
      </c>
      <c r="G13" s="164">
        <f t="shared" si="2"/>
        <v>69120000</v>
      </c>
    </row>
    <row r="14" spans="2:7">
      <c r="B14" s="153" t="s">
        <v>166</v>
      </c>
      <c r="C14" s="153"/>
      <c r="D14" s="153"/>
      <c r="E14" s="165">
        <f>SUM(E11:E13)</f>
        <v>144000</v>
      </c>
      <c r="F14" s="160"/>
      <c r="G14" s="165">
        <f>SUM(G11:G13)</f>
        <v>174720000</v>
      </c>
    </row>
    <row r="16" spans="2:7" ht="32">
      <c r="B16" s="153" t="s">
        <v>202</v>
      </c>
      <c r="C16" s="153" t="s">
        <v>470</v>
      </c>
      <c r="D16" s="153" t="s">
        <v>239</v>
      </c>
      <c r="E16" s="153" t="s">
        <v>485</v>
      </c>
      <c r="F16" s="153" t="s">
        <v>487</v>
      </c>
      <c r="G16" s="153" t="s">
        <v>176</v>
      </c>
    </row>
    <row r="17" spans="2:7">
      <c r="B17" s="158" t="s">
        <v>582</v>
      </c>
      <c r="C17" s="158">
        <f>'Исходные данные'!$D$30+('Исходные данные'!$D$30*'Исходные данные'!$D$32/100)</f>
        <v>4950</v>
      </c>
      <c r="D17" s="158">
        <f>Выгоды!H23</f>
        <v>10</v>
      </c>
      <c r="E17" s="158">
        <f>C17*D17</f>
        <v>49500</v>
      </c>
      <c r="F17" s="158">
        <f>Выгоды!D23</f>
        <v>500</v>
      </c>
      <c r="G17" s="164">
        <f t="shared" ref="G17:G19" si="4">E17*F17</f>
        <v>24750000</v>
      </c>
    </row>
    <row r="18" spans="2:7">
      <c r="B18" s="158" t="s">
        <v>583</v>
      </c>
      <c r="C18" s="158">
        <f>'Исходные данные'!$D$30+('Исходные данные'!$D$30*'Исходные данные'!$D$32/100)</f>
        <v>4950</v>
      </c>
      <c r="D18" s="158">
        <f>Выгоды!H24</f>
        <v>10</v>
      </c>
      <c r="E18" s="158">
        <f t="shared" ref="E18:E19" si="5">C18*D18</f>
        <v>49500</v>
      </c>
      <c r="F18" s="158">
        <f>Выгоды!D24</f>
        <v>600</v>
      </c>
      <c r="G18" s="164">
        <f t="shared" si="4"/>
        <v>29700000</v>
      </c>
    </row>
    <row r="19" spans="2:7">
      <c r="B19" s="158" t="s">
        <v>584</v>
      </c>
      <c r="C19" s="158">
        <f>'Исходные данные'!$D$30+('Исходные данные'!$D$30*'Исходные данные'!$D$32/100)</f>
        <v>4950</v>
      </c>
      <c r="D19" s="158">
        <f>Выгоды!H25</f>
        <v>10</v>
      </c>
      <c r="E19" s="158">
        <f t="shared" si="5"/>
        <v>49500</v>
      </c>
      <c r="F19" s="158">
        <f>Выгоды!D25</f>
        <v>720</v>
      </c>
      <c r="G19" s="164">
        <f t="shared" si="4"/>
        <v>35640000</v>
      </c>
    </row>
    <row r="20" spans="2:7">
      <c r="B20" s="153" t="s">
        <v>166</v>
      </c>
      <c r="C20" s="153"/>
      <c r="D20" s="153"/>
      <c r="E20" s="165">
        <f>SUM(E17:E19)</f>
        <v>148500</v>
      </c>
      <c r="F20" s="160"/>
      <c r="G20" s="165">
        <f>SUM(G17:G19)</f>
        <v>90090000</v>
      </c>
    </row>
    <row r="22" spans="2:7" ht="32">
      <c r="B22" s="153" t="s">
        <v>463</v>
      </c>
      <c r="C22" s="153" t="s">
        <v>183</v>
      </c>
      <c r="D22" s="153" t="s">
        <v>471</v>
      </c>
      <c r="E22" s="153" t="s">
        <v>485</v>
      </c>
      <c r="F22" s="153" t="s">
        <v>487</v>
      </c>
      <c r="G22" s="153" t="s">
        <v>176</v>
      </c>
    </row>
    <row r="23" spans="2:7">
      <c r="B23" s="158" t="s">
        <v>582</v>
      </c>
      <c r="C23" s="158">
        <f>'Исходные данные'!$D$31+('Исходные данные'!$D$31*'Исходные данные'!$D$33/100)</f>
        <v>11</v>
      </c>
      <c r="D23" s="158">
        <f>Выгоды!H31</f>
        <v>600</v>
      </c>
      <c r="E23" s="158">
        <f>C23*D23</f>
        <v>6600</v>
      </c>
      <c r="F23" s="158">
        <f>Выгоды!D31</f>
        <v>2000</v>
      </c>
      <c r="G23" s="164">
        <f t="shared" ref="G23:G25" si="6">E23*F23</f>
        <v>13200000</v>
      </c>
    </row>
    <row r="24" spans="2:7">
      <c r="B24" s="158" t="s">
        <v>583</v>
      </c>
      <c r="C24" s="158">
        <f>'Исходные данные'!$D$31+('Исходные данные'!$D$31*'Исходные данные'!$D$33/100)</f>
        <v>11</v>
      </c>
      <c r="D24" s="158">
        <f>Выгоды!H32</f>
        <v>600</v>
      </c>
      <c r="E24" s="158">
        <f t="shared" ref="E24:E25" si="7">C24*D24</f>
        <v>6600</v>
      </c>
      <c r="F24" s="158">
        <f>Выгоды!D32</f>
        <v>2400</v>
      </c>
      <c r="G24" s="164">
        <f t="shared" si="6"/>
        <v>15840000</v>
      </c>
    </row>
    <row r="25" spans="2:7">
      <c r="B25" s="158" t="s">
        <v>584</v>
      </c>
      <c r="C25" s="158">
        <f>'Исходные данные'!$D$31+('Исходные данные'!$D$31*'Исходные данные'!$D$33/100)</f>
        <v>11</v>
      </c>
      <c r="D25" s="158">
        <f>Выгоды!H33</f>
        <v>600</v>
      </c>
      <c r="E25" s="158">
        <f t="shared" si="7"/>
        <v>6600</v>
      </c>
      <c r="F25" s="158">
        <f>Выгоды!D33</f>
        <v>2880</v>
      </c>
      <c r="G25" s="164">
        <f t="shared" si="6"/>
        <v>19008000</v>
      </c>
    </row>
    <row r="26" spans="2:7">
      <c r="B26" s="153" t="s">
        <v>166</v>
      </c>
      <c r="C26" s="153"/>
      <c r="D26" s="153"/>
      <c r="E26" s="165">
        <f>SUM(E23:E25)</f>
        <v>19800</v>
      </c>
      <c r="F26" s="160"/>
      <c r="G26" s="165">
        <f>SUM(G23:G25)</f>
        <v>48048000</v>
      </c>
    </row>
    <row r="28" spans="2:7" ht="32">
      <c r="B28" s="153" t="s">
        <v>464</v>
      </c>
      <c r="C28" s="153"/>
      <c r="D28" s="153"/>
      <c r="E28" s="153" t="s">
        <v>489</v>
      </c>
      <c r="F28" s="153" t="s">
        <v>486</v>
      </c>
      <c r="G28" s="153" t="s">
        <v>176</v>
      </c>
    </row>
    <row r="29" spans="2:7">
      <c r="B29" s="158" t="s">
        <v>582</v>
      </c>
      <c r="C29" s="158"/>
      <c r="D29" s="158"/>
      <c r="E29" s="182">
        <f>Выгоды!F13</f>
        <v>215.44615000000005</v>
      </c>
      <c r="F29" s="159">
        <f>Выгоды!C13</f>
        <v>45000</v>
      </c>
      <c r="G29" s="164">
        <f>E29*F29</f>
        <v>9695076.7500000019</v>
      </c>
    </row>
    <row r="30" spans="2:7">
      <c r="B30" s="158" t="s">
        <v>583</v>
      </c>
      <c r="C30" s="158"/>
      <c r="D30" s="158"/>
      <c r="E30" s="182">
        <f>Выгоды!F14</f>
        <v>304.9282</v>
      </c>
      <c r="F30" s="159">
        <f>Выгоды!C14</f>
        <v>49500</v>
      </c>
      <c r="G30" s="166">
        <f t="shared" ref="G30:G31" si="8">E30*F30</f>
        <v>15093945.9</v>
      </c>
    </row>
    <row r="31" spans="2:7">
      <c r="B31" s="158" t="s">
        <v>584</v>
      </c>
      <c r="C31" s="158"/>
      <c r="D31" s="158"/>
      <c r="E31" s="182">
        <f>Выгоды!F15</f>
        <v>304.9282</v>
      </c>
      <c r="F31" s="159">
        <f>Выгоды!C15</f>
        <v>54450</v>
      </c>
      <c r="G31" s="166">
        <f t="shared" si="8"/>
        <v>16603340.49</v>
      </c>
    </row>
    <row r="32" spans="2:7">
      <c r="B32" s="153" t="s">
        <v>166</v>
      </c>
      <c r="C32" s="153"/>
      <c r="D32" s="153"/>
      <c r="E32" s="183">
        <f>SUM(E29:E31)</f>
        <v>825.30255000000011</v>
      </c>
      <c r="F32" s="160"/>
      <c r="G32" s="165">
        <f>SUM(G29:G31)</f>
        <v>41392363.140000001</v>
      </c>
    </row>
    <row r="35" spans="2:9">
      <c r="B35" s="154" t="s">
        <v>522</v>
      </c>
    </row>
    <row r="36" spans="2:9">
      <c r="B36" s="159" t="s">
        <v>257</v>
      </c>
      <c r="C36" s="158" t="s">
        <v>582</v>
      </c>
      <c r="D36" s="158" t="s">
        <v>583</v>
      </c>
      <c r="E36" s="158" t="s">
        <v>584</v>
      </c>
      <c r="F36" s="153" t="s">
        <v>559</v>
      </c>
    </row>
    <row r="37" spans="2:9">
      <c r="B37" s="159" t="s">
        <v>495</v>
      </c>
      <c r="C37" s="170">
        <f>(('Исходные данные'!D55*'Исходные данные'!D56)+('Исходные данные'!D58*'Исходные данные'!D59)+('Исходные данные'!D61*'Исходные данные'!D62))*1000</f>
        <v>63310000</v>
      </c>
      <c r="D37" s="166">
        <f>C37+(C37*'Исходные данные'!D57/100)</f>
        <v>75972000</v>
      </c>
      <c r="E37" s="166">
        <f>D37+(D37*'Исходные данные'!D57/100)</f>
        <v>91166400</v>
      </c>
      <c r="F37" s="171">
        <f>SUM(C37:E37)</f>
        <v>230448400</v>
      </c>
      <c r="I37" s="157"/>
    </row>
    <row r="38" spans="2:9" ht="32">
      <c r="B38" s="159" t="s">
        <v>521</v>
      </c>
      <c r="C38" s="170">
        <f>'Исходные данные'!D64</f>
        <v>3000000</v>
      </c>
      <c r="D38" s="166">
        <f>C38+(C38*'Исходные данные'!D65/100)</f>
        <v>3600000</v>
      </c>
      <c r="E38" s="166">
        <f>D38+(D38*'Исходные данные'!D65/100)</f>
        <v>4320000</v>
      </c>
      <c r="F38" s="171">
        <f t="shared" ref="F38:F41" si="9">SUM(C38:E38)</f>
        <v>10920000</v>
      </c>
    </row>
    <row r="39" spans="2:9">
      <c r="B39" s="159" t="s">
        <v>496</v>
      </c>
      <c r="C39" s="170">
        <f>'Исходные данные'!D66</f>
        <v>1000000</v>
      </c>
      <c r="D39" s="166">
        <f>C39+(C39*'Исходные данные'!D67/100)</f>
        <v>1200000</v>
      </c>
      <c r="E39" s="166">
        <f>D39+(D39*'Исходные данные'!D67/100)</f>
        <v>1440000</v>
      </c>
      <c r="F39" s="171">
        <f t="shared" si="9"/>
        <v>3640000</v>
      </c>
    </row>
    <row r="40" spans="2:9">
      <c r="B40" s="159" t="s">
        <v>497</v>
      </c>
      <c r="C40" s="170">
        <f>'Исходные данные'!D68</f>
        <v>3000000</v>
      </c>
      <c r="D40" s="166">
        <f>C40+(C40*'Исходные данные'!D69/100)</f>
        <v>3300000</v>
      </c>
      <c r="E40" s="166">
        <f>D40+(D40*'Исходные данные'!D69/100)</f>
        <v>3630000</v>
      </c>
      <c r="F40" s="171">
        <f t="shared" si="9"/>
        <v>9930000</v>
      </c>
    </row>
    <row r="41" spans="2:9">
      <c r="B41" s="159" t="s">
        <v>145</v>
      </c>
      <c r="C41" s="170">
        <f>'Исходные данные'!D70</f>
        <v>2000000</v>
      </c>
      <c r="D41" s="166">
        <f>C41+(C41*'Исходные данные'!D71/100)</f>
        <v>2400000</v>
      </c>
      <c r="E41" s="166">
        <f>D41+(D41*'Исходные данные'!D71/100)</f>
        <v>2880000</v>
      </c>
      <c r="F41" s="171">
        <f t="shared" si="9"/>
        <v>7280000</v>
      </c>
    </row>
    <row r="42" spans="2:9">
      <c r="B42" s="160" t="s">
        <v>166</v>
      </c>
      <c r="C42" s="177">
        <f>SUM(C37:C41)</f>
        <v>72310000</v>
      </c>
      <c r="D42" s="177">
        <f t="shared" ref="D42:F42" si="10">SUM(D37:D41)</f>
        <v>86472000</v>
      </c>
      <c r="E42" s="177">
        <f t="shared" si="10"/>
        <v>103436400</v>
      </c>
      <c r="F42" s="177">
        <f t="shared" si="10"/>
        <v>262218400</v>
      </c>
    </row>
    <row r="43" spans="2:9">
      <c r="C43" s="97"/>
      <c r="D43" s="157"/>
      <c r="E43" s="157"/>
      <c r="F43" s="157"/>
    </row>
    <row r="44" spans="2:9" ht="32">
      <c r="B44" s="154" t="s">
        <v>527</v>
      </c>
      <c r="C44" s="97"/>
      <c r="D44" s="157"/>
      <c r="E44" s="157"/>
      <c r="F44" s="157"/>
    </row>
    <row r="45" spans="2:9">
      <c r="B45" s="159" t="s">
        <v>257</v>
      </c>
      <c r="C45" s="158" t="s">
        <v>582</v>
      </c>
      <c r="D45" s="158" t="s">
        <v>583</v>
      </c>
      <c r="E45" s="158" t="s">
        <v>584</v>
      </c>
      <c r="F45" s="153" t="s">
        <v>559</v>
      </c>
    </row>
    <row r="46" spans="2:9">
      <c r="B46" s="159" t="s">
        <v>528</v>
      </c>
      <c r="C46" s="170">
        <f>'Исходные данные'!D73*'Исходные данные'!D74*'Исходные данные'!D10</f>
        <v>2000000</v>
      </c>
      <c r="D46" s="164">
        <f>C46+(C46*'Исходные данные'!D75/100)</f>
        <v>2400000</v>
      </c>
      <c r="E46" s="164">
        <f>D46+(D46*'Исходные данные'!D75/100)</f>
        <v>2880000</v>
      </c>
      <c r="F46" s="165">
        <f>SUM(C46:E46)</f>
        <v>7280000</v>
      </c>
    </row>
    <row r="47" spans="2:9">
      <c r="B47" s="159" t="s">
        <v>532</v>
      </c>
      <c r="C47" s="170">
        <f>'Исходные данные'!D76*'Исходные данные'!D10</f>
        <v>1200000</v>
      </c>
      <c r="D47" s="170">
        <f>C47+(C47*'Исходные данные'!D77/100)</f>
        <v>1440000</v>
      </c>
      <c r="E47" s="170">
        <f>D47+(D47*'Исходные данные'!D77/100)</f>
        <v>1728000</v>
      </c>
      <c r="F47" s="165">
        <f t="shared" ref="F47:F49" si="11">SUM(C47:E47)</f>
        <v>4368000</v>
      </c>
    </row>
    <row r="48" spans="2:9">
      <c r="B48" s="159" t="s">
        <v>533</v>
      </c>
      <c r="C48" s="170">
        <f>'Исходные данные'!D78*'Исходные данные'!D10</f>
        <v>1000000</v>
      </c>
      <c r="D48" s="170">
        <f>C48+(C48*'Исходные данные'!D86/100)</f>
        <v>1200000</v>
      </c>
      <c r="E48" s="170">
        <f>D48+(D48*'Исходные данные'!D86/100)</f>
        <v>1440000</v>
      </c>
      <c r="F48" s="165">
        <f t="shared" si="11"/>
        <v>3640000</v>
      </c>
    </row>
    <row r="49" spans="2:6" ht="48">
      <c r="B49" s="159" t="s">
        <v>547</v>
      </c>
      <c r="C49" s="170">
        <f>'Исходные данные'!D80*'Исходные данные'!D10</f>
        <v>2000000</v>
      </c>
      <c r="D49" s="164">
        <f>C49+(C49*'Исходные данные'!D81/100)</f>
        <v>2400000</v>
      </c>
      <c r="E49" s="164">
        <f>D49+(D49*'Исходные данные'!D81/100)</f>
        <v>2880000</v>
      </c>
      <c r="F49" s="165">
        <f t="shared" si="11"/>
        <v>7280000</v>
      </c>
    </row>
    <row r="50" spans="2:6">
      <c r="B50" s="160" t="s">
        <v>166</v>
      </c>
      <c r="C50" s="177">
        <f>SUM(C46:C49)</f>
        <v>6200000</v>
      </c>
      <c r="D50" s="177">
        <f t="shared" ref="D50:F50" si="12">SUM(D46:D49)</f>
        <v>7440000</v>
      </c>
      <c r="E50" s="177">
        <f t="shared" si="12"/>
        <v>8928000</v>
      </c>
      <c r="F50" s="177">
        <f t="shared" si="12"/>
        <v>22568000</v>
      </c>
    </row>
    <row r="51" spans="2:6">
      <c r="C51" s="97"/>
      <c r="D51" s="157"/>
      <c r="E51" s="157"/>
      <c r="F51" s="157"/>
    </row>
    <row r="52" spans="2:6" ht="32">
      <c r="B52" s="154" t="s">
        <v>529</v>
      </c>
      <c r="C52" s="97"/>
      <c r="D52" s="157"/>
      <c r="E52" s="157"/>
      <c r="F52" s="157"/>
    </row>
    <row r="53" spans="2:6">
      <c r="B53" s="159" t="s">
        <v>257</v>
      </c>
      <c r="C53" s="158" t="s">
        <v>582</v>
      </c>
      <c r="D53" s="158" t="s">
        <v>583</v>
      </c>
      <c r="E53" s="158" t="s">
        <v>584</v>
      </c>
      <c r="F53" s="153" t="s">
        <v>559</v>
      </c>
    </row>
    <row r="54" spans="2:6">
      <c r="B54" s="159" t="s">
        <v>528</v>
      </c>
      <c r="C54" s="170">
        <f>'Исходные данные'!D83</f>
        <v>300000</v>
      </c>
      <c r="D54" s="170">
        <f>C54+(C54*'Исходные данные'!D84/100)</f>
        <v>360000</v>
      </c>
      <c r="E54" s="170">
        <f>D54+(D54*'Исходные данные'!D84/100)</f>
        <v>432000</v>
      </c>
      <c r="F54" s="165">
        <f>SUM(C54:E54)</f>
        <v>1092000</v>
      </c>
    </row>
    <row r="55" spans="2:6">
      <c r="B55" s="127" t="s">
        <v>533</v>
      </c>
      <c r="C55" s="170">
        <f>'Исходные данные'!D85</f>
        <v>500000</v>
      </c>
      <c r="D55" s="170">
        <f>C55+(C55*'Исходные данные'!D86/100)</f>
        <v>600000</v>
      </c>
      <c r="E55" s="170">
        <f>D55+(D55*'Исходные данные'!D86/100)</f>
        <v>720000</v>
      </c>
      <c r="F55" s="165">
        <f t="shared" ref="F55:F57" si="13">SUM(C55:E55)</f>
        <v>1820000</v>
      </c>
    </row>
    <row r="56" spans="2:6">
      <c r="B56" s="159" t="s">
        <v>534</v>
      </c>
      <c r="C56" s="170">
        <f>('Исходные данные'!D87-Выгоды!D41)*'Исходные данные'!D88*'Исходные данные'!D89</f>
        <v>524147.96250000002</v>
      </c>
      <c r="D56" s="164">
        <f>C56+(C56*'Исходные данные'!D90/100)</f>
        <v>628977.55500000005</v>
      </c>
      <c r="E56" s="164">
        <f>D56+(D56*'Исходные данные'!D90/100)</f>
        <v>754773.06600000011</v>
      </c>
      <c r="F56" s="165">
        <f t="shared" si="13"/>
        <v>1907898.5835000002</v>
      </c>
    </row>
    <row r="57" spans="2:6" ht="32">
      <c r="B57" s="159" t="s">
        <v>589</v>
      </c>
      <c r="C57" s="170">
        <f>'Исходные данные'!D91</f>
        <v>500000</v>
      </c>
      <c r="D57" s="164">
        <f>C57+(C57*'Исходные данные'!$D$81/100)</f>
        <v>600000</v>
      </c>
      <c r="E57" s="164">
        <f>D57+(D57*'Исходные данные'!$D$81/100)</f>
        <v>720000</v>
      </c>
      <c r="F57" s="165">
        <f t="shared" si="13"/>
        <v>1820000</v>
      </c>
    </row>
    <row r="58" spans="2:6">
      <c r="B58" s="160" t="s">
        <v>166</v>
      </c>
      <c r="C58" s="177">
        <f>SUM(C53:C57)</f>
        <v>1824147.9624999999</v>
      </c>
      <c r="D58" s="177">
        <f t="shared" ref="D58:F58" si="14">SUM(D53:D57)</f>
        <v>2188977.5550000002</v>
      </c>
      <c r="E58" s="177">
        <f t="shared" si="14"/>
        <v>2626773.0660000001</v>
      </c>
      <c r="F58" s="177">
        <f t="shared" si="14"/>
        <v>6639898.5834999997</v>
      </c>
    </row>
    <row r="59" spans="2:6">
      <c r="B59" s="173"/>
      <c r="C59" s="174"/>
      <c r="D59" s="175"/>
      <c r="E59" s="175"/>
      <c r="F59" s="176"/>
    </row>
    <row r="60" spans="2:6">
      <c r="B60" s="178" t="s">
        <v>540</v>
      </c>
      <c r="C60" s="174"/>
      <c r="D60" s="175"/>
      <c r="E60" s="175"/>
      <c r="F60" s="176"/>
    </row>
    <row r="61" spans="2:6">
      <c r="B61" s="159" t="s">
        <v>257</v>
      </c>
      <c r="C61" s="158" t="s">
        <v>582</v>
      </c>
      <c r="D61" s="158" t="s">
        <v>583</v>
      </c>
      <c r="E61" s="158" t="s">
        <v>584</v>
      </c>
      <c r="F61" s="153" t="s">
        <v>559</v>
      </c>
    </row>
    <row r="62" spans="2:6">
      <c r="B62" s="159" t="s">
        <v>575</v>
      </c>
      <c r="C62" s="172">
        <f>'Исходные данные'!$D$50</f>
        <v>8</v>
      </c>
      <c r="D62" s="172">
        <f>'Исходные данные'!$D$50</f>
        <v>8</v>
      </c>
      <c r="E62" s="172">
        <f>'Исходные данные'!$D$50</f>
        <v>8</v>
      </c>
      <c r="F62" s="153">
        <v>8</v>
      </c>
    </row>
    <row r="63" spans="2:6">
      <c r="B63" s="159" t="s">
        <v>466</v>
      </c>
      <c r="C63" s="166">
        <f>'Исходные данные'!D51*'Исходные данные'!D50*12</f>
        <v>19200000</v>
      </c>
      <c r="D63" s="166">
        <f>C63+(C63*'Исходные данные'!D53/100)</f>
        <v>23040000</v>
      </c>
      <c r="E63" s="166">
        <f>D63+(D63*'Исходные данные'!D53/100)</f>
        <v>27648000</v>
      </c>
      <c r="F63" s="171">
        <f>SUM(C63:E63)</f>
        <v>69888000</v>
      </c>
    </row>
    <row r="64" spans="2:6" ht="32">
      <c r="B64" s="159" t="s">
        <v>576</v>
      </c>
      <c r="C64" s="170">
        <f>C63*'Исходные данные'!D52/100</f>
        <v>4800000</v>
      </c>
      <c r="D64" s="166">
        <f>C64+(C64*'Исходные данные'!D53/100)</f>
        <v>5760000</v>
      </c>
      <c r="E64" s="166">
        <f>D64+(D64*'Исходные данные'!D53/100)</f>
        <v>6912000</v>
      </c>
      <c r="F64" s="171">
        <f>SUM(C64:E64)</f>
        <v>17472000</v>
      </c>
    </row>
    <row r="65" spans="2:8">
      <c r="B65" s="160" t="s">
        <v>166</v>
      </c>
      <c r="C65" s="177">
        <f>SUM(C63:C64)</f>
        <v>24000000</v>
      </c>
      <c r="D65" s="177">
        <f t="shared" ref="D65:E65" si="15">SUM(D63:D64)</f>
        <v>28800000</v>
      </c>
      <c r="E65" s="177">
        <f t="shared" si="15"/>
        <v>34560000</v>
      </c>
      <c r="F65" s="171">
        <f>SUM(C65:E65)</f>
        <v>87360000</v>
      </c>
    </row>
    <row r="67" spans="2:8">
      <c r="B67" s="154" t="s">
        <v>454</v>
      </c>
    </row>
    <row r="68" spans="2:8" ht="64">
      <c r="B68" s="153" t="s">
        <v>517</v>
      </c>
      <c r="C68" s="158" t="s">
        <v>190</v>
      </c>
      <c r="D68" s="158" t="s">
        <v>510</v>
      </c>
      <c r="E68" s="158" t="s">
        <v>509</v>
      </c>
      <c r="F68" s="158" t="s">
        <v>512</v>
      </c>
      <c r="G68" s="153" t="s">
        <v>511</v>
      </c>
      <c r="H68" s="97"/>
    </row>
    <row r="69" spans="2:8">
      <c r="B69" s="158" t="s">
        <v>582</v>
      </c>
      <c r="C69" s="158">
        <f>'Исходные данные'!$D$10</f>
        <v>10</v>
      </c>
      <c r="D69" s="158" t="str">
        <f>'Исходные данные'!$D$11</f>
        <v>VII</v>
      </c>
      <c r="E69" s="158">
        <f>'Исходные данные'!$D$12</f>
        <v>9</v>
      </c>
      <c r="F69" s="172">
        <f>'Исходные данные'!$D$97</f>
        <v>7566</v>
      </c>
      <c r="G69" s="204">
        <f>C69*E69*F69</f>
        <v>680940</v>
      </c>
    </row>
    <row r="70" spans="2:8">
      <c r="B70" s="158" t="s">
        <v>583</v>
      </c>
      <c r="C70" s="158">
        <f>'Исходные данные'!$D$10</f>
        <v>10</v>
      </c>
      <c r="D70" s="158" t="str">
        <f>'Исходные данные'!$D$11</f>
        <v>VII</v>
      </c>
      <c r="E70" s="158">
        <f>'Исходные данные'!$D$12</f>
        <v>9</v>
      </c>
      <c r="F70" s="172">
        <f>'Исходные данные'!$D$97</f>
        <v>7566</v>
      </c>
      <c r="G70" s="204">
        <f t="shared" ref="G70:G71" si="16">C70*E70*F70</f>
        <v>680940</v>
      </c>
    </row>
    <row r="71" spans="2:8">
      <c r="B71" s="158" t="s">
        <v>584</v>
      </c>
      <c r="C71" s="158">
        <f>'Исходные данные'!$D$10</f>
        <v>10</v>
      </c>
      <c r="D71" s="158" t="str">
        <f>'Исходные данные'!$D$11</f>
        <v>VII</v>
      </c>
      <c r="E71" s="158">
        <f>'Исходные данные'!$D$12</f>
        <v>9</v>
      </c>
      <c r="F71" s="172">
        <f>'Исходные данные'!$D$97</f>
        <v>7566</v>
      </c>
      <c r="G71" s="204">
        <f t="shared" si="16"/>
        <v>680940</v>
      </c>
    </row>
    <row r="72" spans="2:8">
      <c r="B72" s="97"/>
      <c r="C72" s="97"/>
      <c r="D72" s="97"/>
      <c r="E72" s="97"/>
      <c r="F72" s="162"/>
      <c r="G72" s="161"/>
    </row>
    <row r="73" spans="2:8" ht="64">
      <c r="B73" s="153" t="s">
        <v>518</v>
      </c>
      <c r="C73" s="158" t="s">
        <v>190</v>
      </c>
      <c r="D73" s="158" t="s">
        <v>510</v>
      </c>
      <c r="E73" s="158" t="s">
        <v>509</v>
      </c>
      <c r="F73" s="158" t="s">
        <v>512</v>
      </c>
      <c r="G73" s="153" t="s">
        <v>511</v>
      </c>
    </row>
    <row r="74" spans="2:8">
      <c r="B74" s="158" t="s">
        <v>582</v>
      </c>
      <c r="C74" s="158">
        <f>'Исходные данные'!$D$13</f>
        <v>20</v>
      </c>
      <c r="D74" s="158" t="str">
        <f>'Исходные данные'!$D$14</f>
        <v>VI</v>
      </c>
      <c r="E74" s="158">
        <f>'Исходные данные'!$D$15</f>
        <v>6.78</v>
      </c>
      <c r="F74" s="172">
        <f>'Исходные данные'!$D$97</f>
        <v>7566</v>
      </c>
      <c r="G74" s="204">
        <f t="shared" ref="G74:G76" si="17">C74*E74*F74</f>
        <v>1025949.6</v>
      </c>
    </row>
    <row r="75" spans="2:8">
      <c r="B75" s="158" t="s">
        <v>583</v>
      </c>
      <c r="C75" s="158">
        <f>'Исходные данные'!$D$13</f>
        <v>20</v>
      </c>
      <c r="D75" s="158" t="str">
        <f>'Исходные данные'!$D$14</f>
        <v>VI</v>
      </c>
      <c r="E75" s="158">
        <f>'Исходные данные'!$D$15</f>
        <v>6.78</v>
      </c>
      <c r="F75" s="172">
        <f>'Исходные данные'!$D$97</f>
        <v>7566</v>
      </c>
      <c r="G75" s="204">
        <f t="shared" si="17"/>
        <v>1025949.6</v>
      </c>
    </row>
    <row r="76" spans="2:8">
      <c r="B76" s="158" t="s">
        <v>584</v>
      </c>
      <c r="C76" s="158">
        <f>'Исходные данные'!$D$13</f>
        <v>20</v>
      </c>
      <c r="D76" s="158" t="str">
        <f>'Исходные данные'!$D$14</f>
        <v>VI</v>
      </c>
      <c r="E76" s="158">
        <f>'Исходные данные'!$D$15</f>
        <v>6.78</v>
      </c>
      <c r="F76" s="172">
        <f>'Исходные данные'!$D$97</f>
        <v>7566</v>
      </c>
      <c r="G76" s="204">
        <f t="shared" si="17"/>
        <v>1025949.6</v>
      </c>
    </row>
    <row r="77" spans="2:8">
      <c r="B77" s="97"/>
      <c r="C77" s="97"/>
      <c r="D77" s="97"/>
      <c r="E77" s="97"/>
      <c r="F77" s="162"/>
      <c r="G77" s="163"/>
    </row>
    <row r="78" spans="2:8" ht="48">
      <c r="B78" s="153" t="s">
        <v>585</v>
      </c>
      <c r="C78" s="158" t="s">
        <v>176</v>
      </c>
      <c r="D78" s="158" t="s">
        <v>570</v>
      </c>
      <c r="E78" s="153" t="s">
        <v>578</v>
      </c>
      <c r="F78" s="162"/>
      <c r="G78" s="163"/>
    </row>
    <row r="79" spans="2:8">
      <c r="B79" s="158" t="s">
        <v>582</v>
      </c>
      <c r="C79" s="172">
        <f>G5+G11+G17+G23</f>
        <v>129950000</v>
      </c>
      <c r="D79" s="158">
        <f>'Исходные данные'!$D$98</f>
        <v>8</v>
      </c>
      <c r="E79" s="205">
        <f>C79*D79/100</f>
        <v>10396000</v>
      </c>
      <c r="F79" s="162"/>
      <c r="G79" s="163"/>
    </row>
    <row r="80" spans="2:8">
      <c r="B80" s="158" t="s">
        <v>583</v>
      </c>
      <c r="C80" s="172">
        <f t="shared" ref="C80:C81" si="18">G6+G12+G18+G24</f>
        <v>155940000</v>
      </c>
      <c r="D80" s="158">
        <f>'Исходные данные'!$D$98</f>
        <v>8</v>
      </c>
      <c r="E80" s="205">
        <f t="shared" ref="E80:E81" si="19">C80*D80/100</f>
        <v>12475200</v>
      </c>
      <c r="F80" s="162"/>
      <c r="G80" s="163"/>
    </row>
    <row r="81" spans="2:7">
      <c r="B81" s="158" t="s">
        <v>584</v>
      </c>
      <c r="C81" s="172">
        <f t="shared" si="18"/>
        <v>187128000</v>
      </c>
      <c r="D81" s="158">
        <f>'Исходные данные'!$D$98</f>
        <v>8</v>
      </c>
      <c r="E81" s="205">
        <f t="shared" si="19"/>
        <v>14970240</v>
      </c>
    </row>
    <row r="83" spans="2:7" ht="48">
      <c r="B83" s="153" t="s">
        <v>519</v>
      </c>
      <c r="C83" s="158" t="s">
        <v>176</v>
      </c>
      <c r="D83" s="158" t="s">
        <v>516</v>
      </c>
      <c r="E83" s="158" t="s">
        <v>513</v>
      </c>
      <c r="F83" s="158" t="s">
        <v>514</v>
      </c>
      <c r="G83" s="153" t="s">
        <v>515</v>
      </c>
    </row>
    <row r="84" spans="2:7">
      <c r="B84" s="158" t="s">
        <v>582</v>
      </c>
      <c r="C84" s="164">
        <f>G29</f>
        <v>9695076.7500000019</v>
      </c>
      <c r="D84" s="164">
        <f>'Текущие затраты на БГУ'!$C$13</f>
        <v>6000000</v>
      </c>
      <c r="E84" s="164">
        <f>C84-D84</f>
        <v>3695076.7500000019</v>
      </c>
      <c r="F84" s="158">
        <f>'Исходные данные'!$D$99</f>
        <v>9</v>
      </c>
      <c r="G84" s="206">
        <f>E84*F84/100</f>
        <v>332556.90750000015</v>
      </c>
    </row>
    <row r="85" spans="2:7">
      <c r="B85" s="158" t="s">
        <v>583</v>
      </c>
      <c r="C85" s="164">
        <f>G30</f>
        <v>15093945.9</v>
      </c>
      <c r="D85" s="164">
        <f>'Текущие затраты на БГУ'!$C$13</f>
        <v>6000000</v>
      </c>
      <c r="E85" s="164">
        <f t="shared" ref="E85:E86" si="20">C85-D85</f>
        <v>9093945.9000000004</v>
      </c>
      <c r="F85" s="158">
        <f>'Исходные данные'!$D$99</f>
        <v>9</v>
      </c>
      <c r="G85" s="206">
        <f t="shared" ref="G85:G86" si="21">E85*F85/100</f>
        <v>818455.13100000005</v>
      </c>
    </row>
    <row r="86" spans="2:7">
      <c r="B86" s="158" t="s">
        <v>584</v>
      </c>
      <c r="C86" s="164">
        <f>G31</f>
        <v>16603340.49</v>
      </c>
      <c r="D86" s="164">
        <f>'Текущие затраты на БГУ'!$C$13</f>
        <v>6000000</v>
      </c>
      <c r="E86" s="164">
        <f t="shared" si="20"/>
        <v>10603340.49</v>
      </c>
      <c r="F86" s="158">
        <f>'Исходные данные'!$D$99</f>
        <v>9</v>
      </c>
      <c r="G86" s="206">
        <f t="shared" si="21"/>
        <v>954300.64409999992</v>
      </c>
    </row>
  </sheetData>
  <sheetProtection sheet="1" objects="1" scenarios="1"/>
  <phoneticPr fontId="30" type="noConversion"/>
  <pageMargins left="0.75" right="0.75" top="1" bottom="1" header="0.5" footer="0.5"/>
  <pageSetup orientation="landscape" horizontalDpi="4294967292" verticalDpi="4294967292"/>
  <ignoredErrors>
    <ignoredError sqref="F11:F13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9"/>
  <sheetViews>
    <sheetView tabSelected="1" topLeftCell="B1" zoomScale="125" zoomScaleNormal="125" zoomScalePageLayoutView="125" workbookViewId="0">
      <selection activeCell="E14" sqref="E14"/>
    </sheetView>
  </sheetViews>
  <sheetFormatPr baseColWidth="10" defaultColWidth="30.5" defaultRowHeight="16" x14ac:dyDescent="0"/>
  <cols>
    <col min="1" max="1" width="9.6640625" style="155" customWidth="1"/>
    <col min="2" max="2" width="33.83203125" style="155" customWidth="1"/>
    <col min="3" max="6" width="18.83203125" style="155" customWidth="1"/>
    <col min="7" max="16384" width="30.5" style="155"/>
  </cols>
  <sheetData>
    <row r="1" spans="2:6">
      <c r="B1" s="154" t="s">
        <v>580</v>
      </c>
    </row>
    <row r="3" spans="2:6">
      <c r="B3" s="159" t="s">
        <v>141</v>
      </c>
      <c r="C3" s="158">
        <v>1</v>
      </c>
      <c r="D3" s="158">
        <v>2</v>
      </c>
      <c r="E3" s="158">
        <v>3</v>
      </c>
      <c r="F3" s="158" t="s">
        <v>166</v>
      </c>
    </row>
    <row r="4" spans="2:6">
      <c r="B4" s="160" t="s">
        <v>579</v>
      </c>
      <c r="C4" s="171">
        <f>SUM(C5:C9)</f>
        <v>139645076.75</v>
      </c>
      <c r="D4" s="171">
        <f t="shared" ref="D4:E4" si="0">SUM(D5:D9)</f>
        <v>171033945.90000001</v>
      </c>
      <c r="E4" s="171">
        <f t="shared" si="0"/>
        <v>203731340.49000001</v>
      </c>
      <c r="F4" s="171">
        <f>SUM(F5:F9)</f>
        <v>514410363.13999999</v>
      </c>
    </row>
    <row r="5" spans="2:6">
      <c r="B5" s="159" t="s">
        <v>450</v>
      </c>
      <c r="C5" s="164">
        <f>'доходы и расходы'!G5</f>
        <v>44000000</v>
      </c>
      <c r="D5" s="164">
        <f>'доходы и расходы'!G6</f>
        <v>52800000</v>
      </c>
      <c r="E5" s="164">
        <f>'доходы и расходы'!G7</f>
        <v>63360000</v>
      </c>
      <c r="F5" s="164">
        <f>SUM(C5:E5)</f>
        <v>160160000</v>
      </c>
    </row>
    <row r="6" spans="2:6">
      <c r="B6" s="159" t="s">
        <v>451</v>
      </c>
      <c r="C6" s="164">
        <f>'доходы и расходы'!G11</f>
        <v>48000000</v>
      </c>
      <c r="D6" s="164">
        <f>'доходы и расходы'!G12</f>
        <v>57600000</v>
      </c>
      <c r="E6" s="164">
        <f>'доходы и расходы'!G13</f>
        <v>69120000</v>
      </c>
      <c r="F6" s="164">
        <f t="shared" ref="F6:F10" si="1">SUM(C6:E6)</f>
        <v>174720000</v>
      </c>
    </row>
    <row r="7" spans="2:6">
      <c r="B7" s="159" t="s">
        <v>452</v>
      </c>
      <c r="C7" s="164">
        <f>'доходы и расходы'!G17</f>
        <v>24750000</v>
      </c>
      <c r="D7" s="164">
        <f>'доходы и расходы'!G18</f>
        <v>29700000</v>
      </c>
      <c r="E7" s="164">
        <f>'доходы и расходы'!G19</f>
        <v>35640000</v>
      </c>
      <c r="F7" s="164">
        <f t="shared" si="1"/>
        <v>90090000</v>
      </c>
    </row>
    <row r="8" spans="2:6">
      <c r="B8" s="159" t="s">
        <v>453</v>
      </c>
      <c r="C8" s="164">
        <f>'доходы и расходы'!G23</f>
        <v>13200000</v>
      </c>
      <c r="D8" s="164">
        <f>'доходы и расходы'!G24</f>
        <v>15840000</v>
      </c>
      <c r="E8" s="164">
        <f>'доходы и расходы'!G25</f>
        <v>19008000</v>
      </c>
      <c r="F8" s="164">
        <f t="shared" si="1"/>
        <v>48048000</v>
      </c>
    </row>
    <row r="9" spans="2:6">
      <c r="B9" s="159" t="s">
        <v>173</v>
      </c>
      <c r="C9" s="164">
        <f>'доходы и расходы'!G29</f>
        <v>9695076.7500000019</v>
      </c>
      <c r="D9" s="164">
        <f>'доходы и расходы'!G30</f>
        <v>15093945.9</v>
      </c>
      <c r="E9" s="164">
        <f>'доходы и расходы'!G31</f>
        <v>16603340.49</v>
      </c>
      <c r="F9" s="164">
        <f t="shared" si="1"/>
        <v>41392363.140000001</v>
      </c>
    </row>
    <row r="10" spans="2:6">
      <c r="B10" s="160" t="s">
        <v>144</v>
      </c>
      <c r="C10" s="165">
        <f>SUM(C11:C20)</f>
        <v>109134147.96250001</v>
      </c>
      <c r="D10" s="165">
        <f>SUM(D11:D20)</f>
        <v>129460977.55500001</v>
      </c>
      <c r="E10" s="165">
        <f>SUM(E11:E20)</f>
        <v>153823173.06600001</v>
      </c>
      <c r="F10" s="165">
        <f t="shared" si="1"/>
        <v>392418298.58350003</v>
      </c>
    </row>
    <row r="11" spans="2:6">
      <c r="B11" s="159" t="s">
        <v>520</v>
      </c>
      <c r="C11" s="164">
        <f>'доходы и расходы'!C37</f>
        <v>63310000</v>
      </c>
      <c r="D11" s="164">
        <f>'доходы и расходы'!D37</f>
        <v>75972000</v>
      </c>
      <c r="E11" s="164">
        <f>'доходы и расходы'!E37</f>
        <v>91166400</v>
      </c>
      <c r="F11" s="164">
        <f>SUM(C11:E11)</f>
        <v>230448400</v>
      </c>
    </row>
    <row r="12" spans="2:6">
      <c r="B12" s="159" t="s">
        <v>491</v>
      </c>
      <c r="C12" s="164">
        <f>'доходы и расходы'!C65</f>
        <v>24000000</v>
      </c>
      <c r="D12" s="164">
        <f>'доходы и расходы'!D65</f>
        <v>28800000</v>
      </c>
      <c r="E12" s="164">
        <f>'доходы и расходы'!E65</f>
        <v>34560000</v>
      </c>
      <c r="F12" s="164">
        <f>SUM(C12:E12)</f>
        <v>87360000</v>
      </c>
    </row>
    <row r="13" spans="2:6" ht="32">
      <c r="B13" s="159" t="s">
        <v>521</v>
      </c>
      <c r="C13" s="164">
        <f>'доходы и расходы'!C38</f>
        <v>3000000</v>
      </c>
      <c r="D13" s="164">
        <f>'доходы и расходы'!D38</f>
        <v>3600000</v>
      </c>
      <c r="E13" s="164">
        <f>'доходы и расходы'!E38</f>
        <v>4320000</v>
      </c>
      <c r="F13" s="164">
        <f t="shared" ref="F13:F29" si="2">SUM(C13:E13)</f>
        <v>10920000</v>
      </c>
    </row>
    <row r="14" spans="2:6">
      <c r="B14" s="159" t="s">
        <v>496</v>
      </c>
      <c r="C14" s="164">
        <f>'доходы и расходы'!C39</f>
        <v>1000000</v>
      </c>
      <c r="D14" s="164">
        <f>'доходы и расходы'!D39</f>
        <v>1200000</v>
      </c>
      <c r="E14" s="164">
        <f>'доходы и расходы'!E39</f>
        <v>1440000</v>
      </c>
      <c r="F14" s="164">
        <f t="shared" si="2"/>
        <v>3640000</v>
      </c>
    </row>
    <row r="15" spans="2:6">
      <c r="B15" s="159" t="s">
        <v>497</v>
      </c>
      <c r="C15" s="164">
        <f>'доходы и расходы'!C40</f>
        <v>3000000</v>
      </c>
      <c r="D15" s="164">
        <f>'доходы и расходы'!D40</f>
        <v>3300000</v>
      </c>
      <c r="E15" s="164">
        <f>'доходы и расходы'!E40</f>
        <v>3630000</v>
      </c>
      <c r="F15" s="164">
        <f t="shared" si="2"/>
        <v>9930000</v>
      </c>
    </row>
    <row r="16" spans="2:6">
      <c r="B16" s="159" t="s">
        <v>528</v>
      </c>
      <c r="C16" s="164">
        <f>'доходы и расходы'!C46+'доходы и расходы'!C54</f>
        <v>2300000</v>
      </c>
      <c r="D16" s="164">
        <f>'доходы и расходы'!D46+'доходы и расходы'!D54</f>
        <v>2760000</v>
      </c>
      <c r="E16" s="164">
        <f>'доходы и расходы'!E46+'доходы и расходы'!E54</f>
        <v>3312000</v>
      </c>
      <c r="F16" s="164">
        <f t="shared" si="2"/>
        <v>8372000</v>
      </c>
    </row>
    <row r="17" spans="2:7">
      <c r="B17" s="159" t="s">
        <v>533</v>
      </c>
      <c r="C17" s="164">
        <f>'доходы и расходы'!C48+'доходы и расходы'!C55</f>
        <v>1500000</v>
      </c>
      <c r="D17" s="164">
        <f>'доходы и расходы'!D48+'доходы и расходы'!D55</f>
        <v>1800000</v>
      </c>
      <c r="E17" s="164">
        <f>'доходы и расходы'!E48+'доходы и расходы'!E55</f>
        <v>2160000</v>
      </c>
      <c r="F17" s="164">
        <f t="shared" si="2"/>
        <v>5460000</v>
      </c>
    </row>
    <row r="18" spans="2:7">
      <c r="B18" s="159" t="s">
        <v>534</v>
      </c>
      <c r="C18" s="164">
        <f>'доходы и расходы'!C56</f>
        <v>524147.96250000002</v>
      </c>
      <c r="D18" s="164">
        <f>'доходы и расходы'!D56</f>
        <v>628977.55500000005</v>
      </c>
      <c r="E18" s="164">
        <f>'доходы и расходы'!E56</f>
        <v>754773.06600000011</v>
      </c>
      <c r="F18" s="164">
        <f t="shared" si="2"/>
        <v>1907898.5835000002</v>
      </c>
    </row>
    <row r="19" spans="2:7" ht="32">
      <c r="B19" s="159" t="s">
        <v>455</v>
      </c>
      <c r="C19" s="164">
        <f>'Текущие затраты на БГУ'!$C$13</f>
        <v>6000000</v>
      </c>
      <c r="D19" s="164">
        <f>'Текущие затраты на БГУ'!$C$13</f>
        <v>6000000</v>
      </c>
      <c r="E19" s="164">
        <f>'Текущие затраты на БГУ'!$C$13</f>
        <v>6000000</v>
      </c>
      <c r="F19" s="164">
        <f t="shared" si="2"/>
        <v>18000000</v>
      </c>
      <c r="G19" s="157"/>
    </row>
    <row r="20" spans="2:7">
      <c r="B20" s="159" t="s">
        <v>145</v>
      </c>
      <c r="C20" s="164">
        <f>'доходы и расходы'!C41+'доходы и расходы'!C49+'доходы и расходы'!C57</f>
        <v>4500000</v>
      </c>
      <c r="D20" s="164">
        <f>'доходы и расходы'!D41+'доходы и расходы'!D49+'доходы и расходы'!D57</f>
        <v>5400000</v>
      </c>
      <c r="E20" s="164">
        <f>'доходы и расходы'!E41+'доходы и расходы'!E49+'доходы и расходы'!E57</f>
        <v>6480000</v>
      </c>
      <c r="F20" s="164">
        <f t="shared" si="2"/>
        <v>16380000</v>
      </c>
    </row>
    <row r="21" spans="2:7">
      <c r="B21" s="179" t="s">
        <v>460</v>
      </c>
      <c r="C21" s="180">
        <f>SUM(C22:C23)</f>
        <v>18000000</v>
      </c>
      <c r="D21" s="180">
        <f t="shared" ref="D21:E21" si="3">SUM(D22:D23)</f>
        <v>26400000</v>
      </c>
      <c r="E21" s="180">
        <f t="shared" si="3"/>
        <v>23200000</v>
      </c>
      <c r="F21" s="180">
        <f t="shared" si="2"/>
        <v>67600000</v>
      </c>
    </row>
    <row r="22" spans="2:7">
      <c r="B22" s="159" t="s">
        <v>364</v>
      </c>
      <c r="C22" s="164">
        <f>Кредит!C9</f>
        <v>10000000</v>
      </c>
      <c r="D22" s="164">
        <f>Кредит!D9</f>
        <v>20000000</v>
      </c>
      <c r="E22" s="164">
        <f>Кредит!E9</f>
        <v>20000000</v>
      </c>
      <c r="F22" s="164">
        <f t="shared" si="2"/>
        <v>50000000</v>
      </c>
    </row>
    <row r="23" spans="2:7">
      <c r="B23" s="159" t="s">
        <v>365</v>
      </c>
      <c r="C23" s="164">
        <f>Кредит!C10</f>
        <v>8000000</v>
      </c>
      <c r="D23" s="164">
        <f>Кредит!D10</f>
        <v>6400000</v>
      </c>
      <c r="E23" s="164">
        <f>Кредит!E10</f>
        <v>3200000</v>
      </c>
      <c r="F23" s="164">
        <f t="shared" si="2"/>
        <v>17600000</v>
      </c>
    </row>
    <row r="24" spans="2:7">
      <c r="B24" s="160" t="s">
        <v>456</v>
      </c>
      <c r="C24" s="165">
        <f>C4-C10-C21</f>
        <v>12510928.787499994</v>
      </c>
      <c r="D24" s="165">
        <f>D4-D10-D21</f>
        <v>15172968.344999999</v>
      </c>
      <c r="E24" s="165">
        <f>E4-E10-E21</f>
        <v>26708167.423999995</v>
      </c>
      <c r="F24" s="165">
        <f t="shared" si="2"/>
        <v>54392064.556499988</v>
      </c>
    </row>
    <row r="25" spans="2:7">
      <c r="B25" s="160" t="s">
        <v>458</v>
      </c>
      <c r="C25" s="165">
        <f>SUM(C26:C28)</f>
        <v>12435446.5075</v>
      </c>
      <c r="D25" s="165">
        <f t="shared" ref="D25:E25" si="4">SUM(D26:D28)</f>
        <v>15000544.730999999</v>
      </c>
      <c r="E25" s="165">
        <f t="shared" si="4"/>
        <v>17631430.244100001</v>
      </c>
      <c r="F25" s="165">
        <f t="shared" si="2"/>
        <v>45067421.482600003</v>
      </c>
    </row>
    <row r="26" spans="2:7">
      <c r="B26" s="159" t="s">
        <v>525</v>
      </c>
      <c r="C26" s="164">
        <f>'доходы и расходы'!G69+'доходы и расходы'!G74</f>
        <v>1706889.6</v>
      </c>
      <c r="D26" s="164">
        <f>'доходы и расходы'!G70+'доходы и расходы'!G75</f>
        <v>1706889.6</v>
      </c>
      <c r="E26" s="164">
        <f>'доходы и расходы'!G71+'доходы и расходы'!G76</f>
        <v>1706889.6</v>
      </c>
      <c r="F26" s="164">
        <f t="shared" si="2"/>
        <v>5120668.8000000007</v>
      </c>
    </row>
    <row r="27" spans="2:7">
      <c r="B27" s="159" t="s">
        <v>571</v>
      </c>
      <c r="C27" s="164">
        <f>'доходы и расходы'!E79</f>
        <v>10396000</v>
      </c>
      <c r="D27" s="164">
        <f>'доходы и расходы'!E80</f>
        <v>12475200</v>
      </c>
      <c r="E27" s="164">
        <f>'доходы и расходы'!E81</f>
        <v>14970240</v>
      </c>
      <c r="F27" s="164">
        <f t="shared" si="2"/>
        <v>37841440</v>
      </c>
    </row>
    <row r="28" spans="2:7" ht="32">
      <c r="B28" s="159" t="s">
        <v>459</v>
      </c>
      <c r="C28" s="164">
        <f>(C9-C19)*'Исходные данные'!$D$99/100</f>
        <v>332556.90750000015</v>
      </c>
      <c r="D28" s="164">
        <f>(D9-D19)*'Исходные данные'!$D$99/100</f>
        <v>818455.13100000005</v>
      </c>
      <c r="E28" s="164">
        <f>(E9-E19)*'Исходные данные'!$D$99/100</f>
        <v>954300.64409999992</v>
      </c>
      <c r="F28" s="164">
        <f t="shared" si="2"/>
        <v>2105312.6825999999</v>
      </c>
    </row>
    <row r="29" spans="2:7">
      <c r="B29" s="160" t="s">
        <v>457</v>
      </c>
      <c r="C29" s="165">
        <f>C24-C25</f>
        <v>75482.279999993742</v>
      </c>
      <c r="D29" s="165">
        <f t="shared" ref="D29:E29" si="5">D24-D25</f>
        <v>172423.61400000006</v>
      </c>
      <c r="E29" s="165">
        <f t="shared" si="5"/>
        <v>9076737.1798999943</v>
      </c>
      <c r="F29" s="165">
        <f t="shared" si="2"/>
        <v>9324643.0738999881</v>
      </c>
    </row>
  </sheetData>
  <sheetProtection sheet="1" objects="1" scenarios="1"/>
  <pageMargins left="0.75" right="0.75" top="1" bottom="1" header="0.5" footer="0.5"/>
  <pageSetup orientation="portrait" horizontalDpi="4294967292" verticalDpi="4294967292"/>
  <ignoredErrors>
    <ignoredError sqref="C21:F23 F19 C28:F30 F26 C25:F25 F24 C10:F10 F12:F14 F16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D101"/>
  <sheetViews>
    <sheetView topLeftCell="A84" zoomScale="125" zoomScaleNormal="125" zoomScalePageLayoutView="125" workbookViewId="0">
      <selection activeCell="B37" sqref="B37"/>
    </sheetView>
  </sheetViews>
  <sheetFormatPr baseColWidth="10" defaultRowHeight="16" x14ac:dyDescent="0"/>
  <cols>
    <col min="1" max="1" width="4.33203125" style="123" customWidth="1"/>
    <col min="2" max="2" width="61.5" style="123" customWidth="1"/>
    <col min="3" max="3" width="22.6640625" style="123" customWidth="1"/>
    <col min="4" max="4" width="16.5" style="123" customWidth="1"/>
    <col min="5" max="16384" width="10.83203125" style="123"/>
  </cols>
  <sheetData>
    <row r="1" spans="2:4" ht="33" customHeight="1">
      <c r="B1" s="188" t="s">
        <v>359</v>
      </c>
      <c r="C1" s="188"/>
      <c r="D1" s="188"/>
    </row>
    <row r="3" spans="2:4">
      <c r="B3" s="125" t="s">
        <v>150</v>
      </c>
      <c r="C3" s="125" t="s">
        <v>279</v>
      </c>
      <c r="D3" s="125" t="s">
        <v>284</v>
      </c>
    </row>
    <row r="4" spans="2:4" ht="20" customHeight="1">
      <c r="B4" s="187" t="s">
        <v>300</v>
      </c>
      <c r="C4" s="187"/>
      <c r="D4" s="187"/>
    </row>
    <row r="5" spans="2:4">
      <c r="B5" s="127" t="s">
        <v>283</v>
      </c>
      <c r="C5" s="76" t="s">
        <v>280</v>
      </c>
      <c r="D5" s="76">
        <v>70</v>
      </c>
    </row>
    <row r="6" spans="2:4">
      <c r="B6" s="127" t="s">
        <v>282</v>
      </c>
      <c r="C6" s="76" t="s">
        <v>281</v>
      </c>
      <c r="D6" s="76">
        <v>15</v>
      </c>
    </row>
    <row r="7" spans="2:4">
      <c r="B7" s="127" t="s">
        <v>323</v>
      </c>
      <c r="C7" s="131" t="s">
        <v>316</v>
      </c>
      <c r="D7" s="131">
        <v>0.29499999999999998</v>
      </c>
    </row>
    <row r="8" spans="2:4">
      <c r="B8" s="127" t="s">
        <v>315</v>
      </c>
      <c r="C8" s="131" t="s">
        <v>296</v>
      </c>
      <c r="D8" s="131">
        <v>85</v>
      </c>
    </row>
    <row r="9" spans="2:4">
      <c r="B9" s="127" t="s">
        <v>422</v>
      </c>
      <c r="C9" s="133" t="s">
        <v>421</v>
      </c>
      <c r="D9" s="133">
        <v>0.7</v>
      </c>
    </row>
    <row r="10" spans="2:4">
      <c r="B10" s="127" t="s">
        <v>503</v>
      </c>
      <c r="C10" s="76" t="s">
        <v>204</v>
      </c>
      <c r="D10" s="76">
        <v>10</v>
      </c>
    </row>
    <row r="11" spans="2:4">
      <c r="B11" s="127" t="s">
        <v>502</v>
      </c>
      <c r="C11" s="156"/>
      <c r="D11" s="156" t="s">
        <v>530</v>
      </c>
    </row>
    <row r="12" spans="2:4">
      <c r="B12" s="127" t="s">
        <v>506</v>
      </c>
      <c r="C12" s="156"/>
      <c r="D12" s="156">
        <v>9</v>
      </c>
    </row>
    <row r="13" spans="2:4">
      <c r="B13" s="127" t="s">
        <v>499</v>
      </c>
      <c r="C13" s="156" t="s">
        <v>204</v>
      </c>
      <c r="D13" s="156">
        <v>20</v>
      </c>
    </row>
    <row r="14" spans="2:4">
      <c r="B14" s="127" t="s">
        <v>504</v>
      </c>
      <c r="C14" s="156"/>
      <c r="D14" s="156" t="s">
        <v>531</v>
      </c>
    </row>
    <row r="15" spans="2:4">
      <c r="B15" s="127" t="s">
        <v>505</v>
      </c>
      <c r="C15" s="156"/>
      <c r="D15" s="156">
        <v>6.78</v>
      </c>
    </row>
    <row r="16" spans="2:4">
      <c r="B16" s="127" t="s">
        <v>278</v>
      </c>
      <c r="C16" s="76" t="s">
        <v>205</v>
      </c>
      <c r="D16" s="76">
        <v>600</v>
      </c>
    </row>
    <row r="17" spans="2:4">
      <c r="B17" s="127" t="s">
        <v>449</v>
      </c>
      <c r="C17" s="147"/>
      <c r="D17" s="147">
        <v>270</v>
      </c>
    </row>
    <row r="18" spans="2:4" ht="20" customHeight="1">
      <c r="B18" s="187" t="s">
        <v>302</v>
      </c>
      <c r="C18" s="187"/>
      <c r="D18" s="187"/>
    </row>
    <row r="19" spans="2:4">
      <c r="B19" s="127" t="s">
        <v>285</v>
      </c>
      <c r="C19" s="76" t="s">
        <v>286</v>
      </c>
      <c r="D19" s="76">
        <v>540</v>
      </c>
    </row>
    <row r="20" spans="2:4">
      <c r="B20" s="127" t="s">
        <v>287</v>
      </c>
      <c r="C20" s="76" t="s">
        <v>286</v>
      </c>
      <c r="D20" s="76">
        <v>5000</v>
      </c>
    </row>
    <row r="21" spans="2:4">
      <c r="B21" s="127" t="s">
        <v>289</v>
      </c>
      <c r="C21" s="76" t="s">
        <v>288</v>
      </c>
      <c r="D21" s="76">
        <v>5</v>
      </c>
    </row>
    <row r="22" spans="2:4" ht="23" customHeight="1">
      <c r="B22" s="189" t="s">
        <v>498</v>
      </c>
      <c r="C22" s="190"/>
      <c r="D22" s="191"/>
    </row>
    <row r="23" spans="2:4">
      <c r="B23" s="77" t="s">
        <v>500</v>
      </c>
      <c r="C23" s="156" t="s">
        <v>524</v>
      </c>
      <c r="D23" s="156">
        <v>15</v>
      </c>
    </row>
    <row r="24" spans="2:4">
      <c r="B24" s="77" t="s">
        <v>501</v>
      </c>
      <c r="C24" s="156" t="s">
        <v>523</v>
      </c>
      <c r="D24" s="156">
        <v>40</v>
      </c>
    </row>
    <row r="25" spans="2:4" ht="20" customHeight="1">
      <c r="B25" s="187" t="s">
        <v>478</v>
      </c>
      <c r="C25" s="187"/>
      <c r="D25" s="187"/>
    </row>
    <row r="26" spans="2:4" ht="20" customHeight="1">
      <c r="B26" s="77" t="s">
        <v>483</v>
      </c>
      <c r="C26" s="150" t="s">
        <v>484</v>
      </c>
      <c r="D26" s="150">
        <v>10</v>
      </c>
    </row>
    <row r="27" spans="2:4" ht="20" customHeight="1">
      <c r="B27" s="77" t="s">
        <v>480</v>
      </c>
      <c r="C27" s="150" t="s">
        <v>281</v>
      </c>
      <c r="D27" s="150">
        <v>400</v>
      </c>
    </row>
    <row r="28" spans="2:4" ht="20" customHeight="1">
      <c r="B28" s="77" t="s">
        <v>492</v>
      </c>
      <c r="C28" s="150" t="s">
        <v>484</v>
      </c>
      <c r="D28" s="150">
        <v>40</v>
      </c>
    </row>
    <row r="29" spans="2:4" ht="20" customHeight="1">
      <c r="B29" s="77" t="s">
        <v>493</v>
      </c>
      <c r="C29" s="150" t="s">
        <v>479</v>
      </c>
      <c r="D29" s="150">
        <v>1200</v>
      </c>
    </row>
    <row r="30" spans="2:4">
      <c r="B30" s="127" t="s">
        <v>298</v>
      </c>
      <c r="C30" s="76" t="s">
        <v>286</v>
      </c>
      <c r="D30" s="76">
        <v>4500</v>
      </c>
    </row>
    <row r="31" spans="2:4">
      <c r="B31" s="127" t="s">
        <v>299</v>
      </c>
      <c r="C31" s="76" t="s">
        <v>288</v>
      </c>
      <c r="D31" s="76">
        <v>10</v>
      </c>
    </row>
    <row r="32" spans="2:4">
      <c r="B32" s="127" t="s">
        <v>303</v>
      </c>
      <c r="C32" s="76" t="s">
        <v>296</v>
      </c>
      <c r="D32" s="76">
        <v>10</v>
      </c>
    </row>
    <row r="33" spans="2:4">
      <c r="B33" s="127" t="s">
        <v>304</v>
      </c>
      <c r="C33" s="76" t="s">
        <v>296</v>
      </c>
      <c r="D33" s="76">
        <v>10</v>
      </c>
    </row>
    <row r="34" spans="2:4" ht="20" customHeight="1">
      <c r="B34" s="187" t="s">
        <v>301</v>
      </c>
      <c r="C34" s="187"/>
      <c r="D34" s="187"/>
    </row>
    <row r="35" spans="2:4" ht="20" customHeight="1">
      <c r="B35" s="77" t="s">
        <v>473</v>
      </c>
      <c r="C35" s="150" t="s">
        <v>290</v>
      </c>
      <c r="D35" s="150">
        <v>11000</v>
      </c>
    </row>
    <row r="36" spans="2:4" ht="20" customHeight="1">
      <c r="B36" s="77" t="s">
        <v>477</v>
      </c>
      <c r="C36" s="150" t="s">
        <v>296</v>
      </c>
      <c r="D36" s="150">
        <v>20</v>
      </c>
    </row>
    <row r="37" spans="2:4" ht="20" customHeight="1">
      <c r="B37" s="77" t="s">
        <v>474</v>
      </c>
      <c r="C37" s="150" t="s">
        <v>475</v>
      </c>
      <c r="D37" s="150">
        <v>1000</v>
      </c>
    </row>
    <row r="38" spans="2:4" ht="20" customHeight="1">
      <c r="B38" s="77" t="s">
        <v>476</v>
      </c>
      <c r="C38" s="150" t="s">
        <v>296</v>
      </c>
      <c r="D38" s="150">
        <v>20</v>
      </c>
    </row>
    <row r="39" spans="2:4">
      <c r="B39" s="127" t="s">
        <v>291</v>
      </c>
      <c r="C39" s="76" t="s">
        <v>290</v>
      </c>
      <c r="D39" s="76">
        <v>500</v>
      </c>
    </row>
    <row r="40" spans="2:4">
      <c r="B40" s="127" t="s">
        <v>306</v>
      </c>
      <c r="C40" s="76" t="s">
        <v>296</v>
      </c>
      <c r="D40" s="76">
        <v>20</v>
      </c>
    </row>
    <row r="41" spans="2:4">
      <c r="B41" s="127" t="s">
        <v>314</v>
      </c>
      <c r="C41" s="76" t="s">
        <v>290</v>
      </c>
      <c r="D41" s="76">
        <v>2000</v>
      </c>
    </row>
    <row r="42" spans="2:4">
      <c r="B42" s="127" t="s">
        <v>308</v>
      </c>
      <c r="C42" s="76" t="s">
        <v>296</v>
      </c>
      <c r="D42" s="76">
        <v>20</v>
      </c>
    </row>
    <row r="43" spans="2:4">
      <c r="B43" s="127" t="s">
        <v>292</v>
      </c>
      <c r="C43" s="76" t="s">
        <v>290</v>
      </c>
      <c r="D43" s="76">
        <v>350</v>
      </c>
    </row>
    <row r="44" spans="2:4">
      <c r="B44" s="127" t="s">
        <v>313</v>
      </c>
      <c r="C44" s="76" t="s">
        <v>296</v>
      </c>
      <c r="D44" s="76">
        <v>20</v>
      </c>
    </row>
    <row r="45" spans="2:4">
      <c r="B45" s="127" t="s">
        <v>293</v>
      </c>
      <c r="C45" s="76" t="s">
        <v>290</v>
      </c>
      <c r="D45" s="76">
        <v>45</v>
      </c>
    </row>
    <row r="46" spans="2:4">
      <c r="B46" s="127" t="s">
        <v>307</v>
      </c>
      <c r="C46" s="76" t="s">
        <v>296</v>
      </c>
      <c r="D46" s="76">
        <v>10</v>
      </c>
    </row>
    <row r="47" spans="2:4">
      <c r="B47" s="127" t="s">
        <v>311</v>
      </c>
      <c r="C47" s="126" t="s">
        <v>310</v>
      </c>
      <c r="D47" s="126">
        <v>108</v>
      </c>
    </row>
    <row r="48" spans="2:4">
      <c r="B48" s="127" t="s">
        <v>312</v>
      </c>
      <c r="C48" s="126" t="s">
        <v>296</v>
      </c>
      <c r="D48" s="126">
        <v>20</v>
      </c>
    </row>
    <row r="49" spans="2:4">
      <c r="B49" s="189" t="s">
        <v>545</v>
      </c>
      <c r="C49" s="190"/>
      <c r="D49" s="191"/>
    </row>
    <row r="50" spans="2:4">
      <c r="B50" s="127" t="s">
        <v>541</v>
      </c>
      <c r="C50" s="156"/>
      <c r="D50" s="156">
        <v>8</v>
      </c>
    </row>
    <row r="51" spans="2:4">
      <c r="B51" s="127" t="s">
        <v>544</v>
      </c>
      <c r="C51" s="156" t="s">
        <v>294</v>
      </c>
      <c r="D51" s="156">
        <v>200000</v>
      </c>
    </row>
    <row r="52" spans="2:4">
      <c r="B52" s="127" t="s">
        <v>542</v>
      </c>
      <c r="C52" s="156" t="s">
        <v>543</v>
      </c>
      <c r="D52" s="156">
        <v>25</v>
      </c>
    </row>
    <row r="53" spans="2:4">
      <c r="B53" s="127" t="s">
        <v>569</v>
      </c>
      <c r="C53" s="156" t="s">
        <v>296</v>
      </c>
      <c r="D53" s="156">
        <v>20</v>
      </c>
    </row>
    <row r="54" spans="2:4">
      <c r="B54" s="189" t="s">
        <v>522</v>
      </c>
      <c r="C54" s="190"/>
      <c r="D54" s="191"/>
    </row>
    <row r="55" spans="2:4">
      <c r="B55" s="77" t="s">
        <v>551</v>
      </c>
      <c r="C55" s="156" t="s">
        <v>90</v>
      </c>
      <c r="D55" s="156">
        <v>140</v>
      </c>
    </row>
    <row r="56" spans="2:4">
      <c r="B56" s="77" t="s">
        <v>552</v>
      </c>
      <c r="C56" s="156" t="s">
        <v>294</v>
      </c>
      <c r="D56" s="156">
        <v>151</v>
      </c>
    </row>
    <row r="57" spans="2:4">
      <c r="B57" s="77" t="s">
        <v>553</v>
      </c>
      <c r="C57" s="156" t="s">
        <v>296</v>
      </c>
      <c r="D57" s="156">
        <v>20</v>
      </c>
    </row>
    <row r="58" spans="2:4">
      <c r="B58" s="77" t="s">
        <v>550</v>
      </c>
      <c r="C58" s="156" t="s">
        <v>90</v>
      </c>
      <c r="D58" s="156">
        <v>90</v>
      </c>
    </row>
    <row r="59" spans="2:4">
      <c r="B59" s="77" t="s">
        <v>555</v>
      </c>
      <c r="C59" s="156" t="s">
        <v>294</v>
      </c>
      <c r="D59" s="156">
        <v>357</v>
      </c>
    </row>
    <row r="60" spans="2:4">
      <c r="B60" s="77" t="s">
        <v>554</v>
      </c>
      <c r="C60" s="156" t="s">
        <v>296</v>
      </c>
      <c r="D60" s="156">
        <v>20</v>
      </c>
    </row>
    <row r="61" spans="2:4">
      <c r="B61" s="77" t="s">
        <v>577</v>
      </c>
      <c r="C61" s="156" t="s">
        <v>90</v>
      </c>
      <c r="D61" s="156">
        <v>20</v>
      </c>
    </row>
    <row r="62" spans="2:4">
      <c r="B62" s="77" t="s">
        <v>586</v>
      </c>
      <c r="C62" s="156" t="s">
        <v>294</v>
      </c>
      <c r="D62" s="156">
        <v>502</v>
      </c>
    </row>
    <row r="63" spans="2:4">
      <c r="B63" s="77" t="s">
        <v>587</v>
      </c>
      <c r="C63" s="156" t="s">
        <v>296</v>
      </c>
      <c r="D63" s="156">
        <v>20</v>
      </c>
    </row>
    <row r="64" spans="2:4">
      <c r="B64" s="77" t="s">
        <v>521</v>
      </c>
      <c r="C64" s="156" t="s">
        <v>294</v>
      </c>
      <c r="D64" s="156">
        <v>3000000</v>
      </c>
    </row>
    <row r="65" spans="2:4">
      <c r="B65" s="77" t="s">
        <v>556</v>
      </c>
      <c r="C65" s="156" t="s">
        <v>296</v>
      </c>
      <c r="D65" s="156">
        <v>20</v>
      </c>
    </row>
    <row r="66" spans="2:4">
      <c r="B66" s="77" t="s">
        <v>496</v>
      </c>
      <c r="C66" s="156" t="s">
        <v>294</v>
      </c>
      <c r="D66" s="156">
        <v>1000000</v>
      </c>
    </row>
    <row r="67" spans="2:4">
      <c r="B67" s="77" t="s">
        <v>557</v>
      </c>
      <c r="C67" s="156" t="s">
        <v>296</v>
      </c>
      <c r="D67" s="156">
        <v>20</v>
      </c>
    </row>
    <row r="68" spans="2:4">
      <c r="B68" s="77" t="s">
        <v>497</v>
      </c>
      <c r="C68" s="156" t="s">
        <v>294</v>
      </c>
      <c r="D68" s="156">
        <v>3000000</v>
      </c>
    </row>
    <row r="69" spans="2:4">
      <c r="B69" s="77" t="s">
        <v>558</v>
      </c>
      <c r="C69" s="156" t="s">
        <v>296</v>
      </c>
      <c r="D69" s="156">
        <v>10</v>
      </c>
    </row>
    <row r="70" spans="2:4">
      <c r="B70" s="127" t="s">
        <v>145</v>
      </c>
      <c r="C70" s="156" t="s">
        <v>294</v>
      </c>
      <c r="D70" s="156">
        <v>2000000</v>
      </c>
    </row>
    <row r="71" spans="2:4">
      <c r="B71" s="127" t="s">
        <v>560</v>
      </c>
      <c r="C71" s="156" t="s">
        <v>296</v>
      </c>
      <c r="D71" s="156">
        <v>20</v>
      </c>
    </row>
    <row r="72" spans="2:4">
      <c r="B72" s="189" t="s">
        <v>546</v>
      </c>
      <c r="C72" s="190"/>
      <c r="D72" s="191"/>
    </row>
    <row r="73" spans="2:4">
      <c r="B73" s="127" t="s">
        <v>528</v>
      </c>
      <c r="C73" s="156" t="s">
        <v>286</v>
      </c>
      <c r="D73" s="156">
        <v>200</v>
      </c>
    </row>
    <row r="74" spans="2:4">
      <c r="B74" s="127" t="s">
        <v>549</v>
      </c>
      <c r="C74" s="156" t="s">
        <v>294</v>
      </c>
      <c r="D74" s="156">
        <v>1000</v>
      </c>
    </row>
    <row r="75" spans="2:4">
      <c r="B75" s="127" t="s">
        <v>561</v>
      </c>
      <c r="C75" s="156" t="s">
        <v>296</v>
      </c>
      <c r="D75" s="156">
        <v>20</v>
      </c>
    </row>
    <row r="76" spans="2:4">
      <c r="B76" s="127" t="s">
        <v>532</v>
      </c>
      <c r="C76" s="156" t="s">
        <v>294</v>
      </c>
      <c r="D76" s="156">
        <v>120000</v>
      </c>
    </row>
    <row r="77" spans="2:4">
      <c r="B77" s="127" t="s">
        <v>562</v>
      </c>
      <c r="C77" s="156" t="s">
        <v>296</v>
      </c>
      <c r="D77" s="156">
        <v>20</v>
      </c>
    </row>
    <row r="78" spans="2:4">
      <c r="B78" s="127" t="s">
        <v>533</v>
      </c>
      <c r="C78" s="156" t="s">
        <v>294</v>
      </c>
      <c r="D78" s="156">
        <v>100000</v>
      </c>
    </row>
    <row r="79" spans="2:4">
      <c r="B79" s="127" t="s">
        <v>563</v>
      </c>
      <c r="C79" s="156" t="s">
        <v>296</v>
      </c>
      <c r="D79" s="156">
        <v>20</v>
      </c>
    </row>
    <row r="80" spans="2:4">
      <c r="B80" s="127" t="s">
        <v>547</v>
      </c>
      <c r="C80" s="156" t="s">
        <v>294</v>
      </c>
      <c r="D80" s="156">
        <v>200000</v>
      </c>
    </row>
    <row r="81" spans="2:4">
      <c r="B81" s="167" t="s">
        <v>564</v>
      </c>
      <c r="C81" s="168" t="s">
        <v>296</v>
      </c>
      <c r="D81" s="169">
        <v>20</v>
      </c>
    </row>
    <row r="82" spans="2:4">
      <c r="B82" s="189" t="s">
        <v>548</v>
      </c>
      <c r="C82" s="190"/>
      <c r="D82" s="191"/>
    </row>
    <row r="83" spans="2:4">
      <c r="B83" s="127" t="s">
        <v>528</v>
      </c>
      <c r="C83" s="156" t="s">
        <v>294</v>
      </c>
      <c r="D83" s="156">
        <v>300000</v>
      </c>
    </row>
    <row r="84" spans="2:4">
      <c r="B84" s="127" t="s">
        <v>565</v>
      </c>
      <c r="C84" s="156" t="s">
        <v>296</v>
      </c>
      <c r="D84" s="156">
        <v>20</v>
      </c>
    </row>
    <row r="85" spans="2:4">
      <c r="B85" s="127" t="s">
        <v>533</v>
      </c>
      <c r="C85" s="156" t="s">
        <v>294</v>
      </c>
      <c r="D85" s="156">
        <v>500000</v>
      </c>
    </row>
    <row r="86" spans="2:4">
      <c r="B86" s="127" t="s">
        <v>566</v>
      </c>
      <c r="C86" s="156" t="s">
        <v>296</v>
      </c>
      <c r="D86" s="156">
        <v>20</v>
      </c>
    </row>
    <row r="87" spans="2:4">
      <c r="B87" s="127" t="s">
        <v>534</v>
      </c>
      <c r="C87" s="156" t="s">
        <v>572</v>
      </c>
      <c r="D87" s="156">
        <v>60</v>
      </c>
    </row>
    <row r="88" spans="2:4">
      <c r="B88" s="127" t="s">
        <v>573</v>
      </c>
      <c r="C88" s="156" t="s">
        <v>574</v>
      </c>
      <c r="D88" s="156">
        <v>150</v>
      </c>
    </row>
    <row r="89" spans="2:4">
      <c r="B89" s="127" t="s">
        <v>568</v>
      </c>
      <c r="C89" s="156" t="s">
        <v>294</v>
      </c>
      <c r="D89" s="156">
        <v>108</v>
      </c>
    </row>
    <row r="90" spans="2:4">
      <c r="B90" s="127" t="s">
        <v>567</v>
      </c>
      <c r="C90" s="156" t="s">
        <v>296</v>
      </c>
      <c r="D90" s="156">
        <v>20</v>
      </c>
    </row>
    <row r="91" spans="2:4">
      <c r="B91" s="127" t="s">
        <v>588</v>
      </c>
      <c r="C91" s="156" t="s">
        <v>294</v>
      </c>
      <c r="D91" s="156">
        <v>500000</v>
      </c>
    </row>
    <row r="92" spans="2:4">
      <c r="B92" s="167" t="s">
        <v>564</v>
      </c>
      <c r="C92" s="168" t="s">
        <v>296</v>
      </c>
      <c r="D92" s="169">
        <v>20</v>
      </c>
    </row>
    <row r="93" spans="2:4" ht="20" customHeight="1">
      <c r="B93" s="187" t="s">
        <v>211</v>
      </c>
      <c r="C93" s="187"/>
      <c r="D93" s="187"/>
    </row>
    <row r="94" spans="2:4">
      <c r="B94" s="127" t="s">
        <v>297</v>
      </c>
      <c r="C94" s="76" t="s">
        <v>294</v>
      </c>
      <c r="D94" s="76">
        <v>50000000</v>
      </c>
    </row>
    <row r="95" spans="2:4">
      <c r="B95" s="127" t="s">
        <v>295</v>
      </c>
      <c r="C95" s="76" t="s">
        <v>296</v>
      </c>
      <c r="D95" s="76">
        <v>16</v>
      </c>
    </row>
    <row r="96" spans="2:4">
      <c r="B96" s="187" t="s">
        <v>454</v>
      </c>
      <c r="C96" s="187"/>
      <c r="D96" s="187"/>
    </row>
    <row r="97" spans="2:4">
      <c r="B97" s="127" t="s">
        <v>508</v>
      </c>
      <c r="C97" s="156" t="s">
        <v>507</v>
      </c>
      <c r="D97" s="156">
        <v>7566</v>
      </c>
    </row>
    <row r="98" spans="2:4" ht="32">
      <c r="B98" s="181" t="s">
        <v>581</v>
      </c>
      <c r="C98" s="150" t="s">
        <v>296</v>
      </c>
      <c r="D98" s="150">
        <v>8</v>
      </c>
    </row>
    <row r="99" spans="2:4">
      <c r="B99" s="127" t="s">
        <v>490</v>
      </c>
      <c r="C99" s="150" t="s">
        <v>296</v>
      </c>
      <c r="D99" s="150">
        <v>9</v>
      </c>
    </row>
    <row r="100" spans="2:4" ht="16" customHeight="1">
      <c r="B100" s="184" t="s">
        <v>446</v>
      </c>
      <c r="C100" s="185"/>
      <c r="D100" s="186"/>
    </row>
    <row r="101" spans="2:4">
      <c r="B101" s="148" t="s">
        <v>447</v>
      </c>
      <c r="C101" s="149" t="s">
        <v>448</v>
      </c>
      <c r="D101" s="149">
        <v>2000</v>
      </c>
    </row>
  </sheetData>
  <mergeCells count="13">
    <mergeCell ref="B100:D100"/>
    <mergeCell ref="B93:D93"/>
    <mergeCell ref="B1:D1"/>
    <mergeCell ref="B18:D18"/>
    <mergeCell ref="B4:D4"/>
    <mergeCell ref="B25:D25"/>
    <mergeCell ref="B34:D34"/>
    <mergeCell ref="B96:D96"/>
    <mergeCell ref="B22:D22"/>
    <mergeCell ref="B49:D49"/>
    <mergeCell ref="B72:D72"/>
    <mergeCell ref="B82:D82"/>
    <mergeCell ref="B54:D54"/>
  </mergeCells>
  <phoneticPr fontId="30" type="noConversion"/>
  <pageMargins left="0.75" right="0.75" top="1" bottom="1" header="0.5" footer="0.5"/>
  <pageSetup scale="63" orientation="portrait" horizontalDpi="4294967292" verticalDpi="4294967292"/>
  <rowBreaks count="1" manualBreakCount="1">
    <brk id="101" max="16383" man="1"/>
  </rowBreaks>
  <colBreaks count="1" manualBreakCount="1">
    <brk id="4" max="1048575" man="1"/>
  </colBreaks>
  <legacyDrawing r:id="rId1"/>
  <extLst>
    <ext xmlns:mx="http://schemas.microsoft.com/office/mac/excel/2008/main" uri="{64002731-A6B0-56B0-2670-7721B7C09600}">
      <mx:PLV Mode="0" OnePage="0" WScale="62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zoomScale="125" zoomScaleNormal="125" zoomScalePageLayoutView="125" workbookViewId="0">
      <selection activeCell="J13" sqref="J13"/>
    </sheetView>
  </sheetViews>
  <sheetFormatPr baseColWidth="10" defaultRowHeight="15" x14ac:dyDescent="0"/>
  <cols>
    <col min="1" max="1" width="10.83203125" style="2"/>
    <col min="2" max="2" width="4.6640625" style="2" customWidth="1"/>
    <col min="3" max="3" width="20.6640625" style="2" customWidth="1"/>
    <col min="4" max="4" width="12.5" style="2" customWidth="1"/>
    <col min="5" max="5" width="12.6640625" style="2" customWidth="1"/>
    <col min="6" max="6" width="19.33203125" style="2" customWidth="1"/>
    <col min="7" max="16384" width="10.83203125" style="2"/>
  </cols>
  <sheetData>
    <row r="1" spans="1:7" ht="16">
      <c r="A1" s="1"/>
      <c r="B1" s="193" t="s">
        <v>0</v>
      </c>
      <c r="C1" s="193"/>
      <c r="D1" s="193"/>
      <c r="E1" s="193"/>
      <c r="F1" s="193"/>
      <c r="G1" s="193"/>
    </row>
    <row r="2" spans="1:7">
      <c r="A2" s="3"/>
      <c r="B2" s="3"/>
      <c r="C2" s="3"/>
      <c r="D2" s="3"/>
      <c r="E2" s="3"/>
      <c r="F2" s="3"/>
      <c r="G2" s="3"/>
    </row>
    <row r="3" spans="1:7" ht="41" customHeight="1">
      <c r="A3" s="3"/>
      <c r="B3" s="108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</row>
    <row r="4" spans="1:7" ht="23" customHeight="1">
      <c r="A4" s="3"/>
      <c r="B4" s="5" t="s">
        <v>7</v>
      </c>
      <c r="C4" s="5"/>
      <c r="D4" s="5"/>
      <c r="E4" s="5"/>
      <c r="F4" s="5"/>
      <c r="G4" s="5"/>
    </row>
    <row r="5" spans="1:7" ht="30">
      <c r="A5" s="3"/>
      <c r="B5" s="88">
        <v>1</v>
      </c>
      <c r="C5" s="109" t="s">
        <v>197</v>
      </c>
      <c r="D5" s="88" t="s">
        <v>8</v>
      </c>
      <c r="E5" s="88">
        <v>1</v>
      </c>
      <c r="F5" s="110">
        <v>13000000</v>
      </c>
      <c r="G5" s="91">
        <f>F5*E5</f>
        <v>13000000</v>
      </c>
    </row>
    <row r="6" spans="1:7" ht="30">
      <c r="A6" s="3"/>
      <c r="B6" s="88">
        <v>2</v>
      </c>
      <c r="C6" s="109" t="s">
        <v>9</v>
      </c>
      <c r="D6" s="88" t="s">
        <v>8</v>
      </c>
      <c r="E6" s="88">
        <v>3</v>
      </c>
      <c r="F6" s="110">
        <v>600000</v>
      </c>
      <c r="G6" s="91">
        <f t="shared" ref="G6:G31" si="0">F6*E6</f>
        <v>1800000</v>
      </c>
    </row>
    <row r="7" spans="1:7">
      <c r="A7" s="3"/>
      <c r="B7" s="88">
        <v>3</v>
      </c>
      <c r="C7" s="109" t="s">
        <v>10</v>
      </c>
      <c r="D7" s="88" t="s">
        <v>8</v>
      </c>
      <c r="E7" s="88">
        <v>1</v>
      </c>
      <c r="F7" s="110">
        <v>700000</v>
      </c>
      <c r="G7" s="91">
        <f t="shared" si="0"/>
        <v>700000</v>
      </c>
    </row>
    <row r="8" spans="1:7">
      <c r="A8" s="3"/>
      <c r="B8" s="88">
        <v>4</v>
      </c>
      <c r="C8" s="109" t="s">
        <v>11</v>
      </c>
      <c r="D8" s="88" t="s">
        <v>8</v>
      </c>
      <c r="E8" s="88">
        <v>1</v>
      </c>
      <c r="F8" s="110">
        <v>750000</v>
      </c>
      <c r="G8" s="91">
        <f t="shared" si="0"/>
        <v>750000</v>
      </c>
    </row>
    <row r="9" spans="1:7">
      <c r="A9" s="3"/>
      <c r="B9" s="88">
        <v>5</v>
      </c>
      <c r="C9" s="109" t="s">
        <v>12</v>
      </c>
      <c r="D9" s="88" t="s">
        <v>13</v>
      </c>
      <c r="E9" s="88">
        <v>1</v>
      </c>
      <c r="F9" s="110">
        <v>57000</v>
      </c>
      <c r="G9" s="91">
        <f t="shared" si="0"/>
        <v>57000</v>
      </c>
    </row>
    <row r="10" spans="1:7">
      <c r="A10" s="3"/>
      <c r="B10" s="88">
        <v>6</v>
      </c>
      <c r="C10" s="109" t="s">
        <v>14</v>
      </c>
      <c r="D10" s="88" t="s">
        <v>8</v>
      </c>
      <c r="E10" s="88">
        <v>1</v>
      </c>
      <c r="F10" s="110">
        <v>230000</v>
      </c>
      <c r="G10" s="91">
        <f t="shared" si="0"/>
        <v>230000</v>
      </c>
    </row>
    <row r="11" spans="1:7">
      <c r="A11" s="3"/>
      <c r="B11" s="88">
        <v>7</v>
      </c>
      <c r="C11" s="109" t="s">
        <v>15</v>
      </c>
      <c r="D11" s="88" t="s">
        <v>8</v>
      </c>
      <c r="E11" s="88">
        <v>1</v>
      </c>
      <c r="F11" s="110">
        <v>110000</v>
      </c>
      <c r="G11" s="91">
        <f t="shared" si="0"/>
        <v>110000</v>
      </c>
    </row>
    <row r="12" spans="1:7">
      <c r="A12" s="3"/>
      <c r="B12" s="88">
        <v>8</v>
      </c>
      <c r="C12" s="109" t="s">
        <v>16</v>
      </c>
      <c r="D12" s="88" t="s">
        <v>8</v>
      </c>
      <c r="E12" s="88">
        <v>1</v>
      </c>
      <c r="F12" s="110">
        <v>35000</v>
      </c>
      <c r="G12" s="91">
        <f t="shared" si="0"/>
        <v>35000</v>
      </c>
    </row>
    <row r="13" spans="1:7" ht="16" customHeight="1">
      <c r="A13" s="3"/>
      <c r="B13" s="88">
        <v>9</v>
      </c>
      <c r="C13" s="109" t="s">
        <v>17</v>
      </c>
      <c r="D13" s="88" t="s">
        <v>18</v>
      </c>
      <c r="E13" s="88">
        <v>10</v>
      </c>
      <c r="F13" s="110">
        <v>12000</v>
      </c>
      <c r="G13" s="91">
        <f t="shared" si="0"/>
        <v>120000</v>
      </c>
    </row>
    <row r="14" spans="1:7">
      <c r="A14" s="3"/>
      <c r="B14" s="88">
        <v>10</v>
      </c>
      <c r="C14" s="109" t="s">
        <v>19</v>
      </c>
      <c r="D14" s="88" t="s">
        <v>18</v>
      </c>
      <c r="E14" s="88">
        <v>15</v>
      </c>
      <c r="F14" s="110">
        <v>7000</v>
      </c>
      <c r="G14" s="91">
        <f t="shared" si="0"/>
        <v>105000</v>
      </c>
    </row>
    <row r="15" spans="1:7">
      <c r="A15" s="3"/>
      <c r="B15" s="88">
        <v>11</v>
      </c>
      <c r="C15" s="109" t="s">
        <v>20</v>
      </c>
      <c r="D15" s="88" t="s">
        <v>18</v>
      </c>
      <c r="E15" s="88">
        <v>40</v>
      </c>
      <c r="F15" s="110">
        <v>4000</v>
      </c>
      <c r="G15" s="91">
        <f t="shared" si="0"/>
        <v>160000</v>
      </c>
    </row>
    <row r="16" spans="1:7">
      <c r="A16" s="3"/>
      <c r="B16" s="88">
        <v>12</v>
      </c>
      <c r="C16" s="109" t="s">
        <v>21</v>
      </c>
      <c r="D16" s="88" t="s">
        <v>18</v>
      </c>
      <c r="E16" s="88">
        <v>16</v>
      </c>
      <c r="F16" s="110">
        <v>3900</v>
      </c>
      <c r="G16" s="91">
        <f t="shared" si="0"/>
        <v>62400</v>
      </c>
    </row>
    <row r="17" spans="1:7">
      <c r="A17" s="3"/>
      <c r="B17" s="88">
        <v>13</v>
      </c>
      <c r="C17" s="109" t="s">
        <v>22</v>
      </c>
      <c r="D17" s="88" t="s">
        <v>8</v>
      </c>
      <c r="E17" s="88">
        <v>3</v>
      </c>
      <c r="F17" s="110">
        <v>5000</v>
      </c>
      <c r="G17" s="91">
        <f t="shared" si="0"/>
        <v>15000</v>
      </c>
    </row>
    <row r="18" spans="1:7">
      <c r="A18" s="3"/>
      <c r="B18" s="88">
        <v>14</v>
      </c>
      <c r="C18" s="109" t="s">
        <v>23</v>
      </c>
      <c r="D18" s="88" t="s">
        <v>8</v>
      </c>
      <c r="E18" s="88">
        <v>5</v>
      </c>
      <c r="F18" s="110">
        <v>5000</v>
      </c>
      <c r="G18" s="91">
        <f t="shared" si="0"/>
        <v>25000</v>
      </c>
    </row>
    <row r="19" spans="1:7">
      <c r="A19" s="3"/>
      <c r="B19" s="88">
        <v>15</v>
      </c>
      <c r="C19" s="109" t="s">
        <v>24</v>
      </c>
      <c r="D19" s="88" t="s">
        <v>8</v>
      </c>
      <c r="E19" s="88">
        <v>2</v>
      </c>
      <c r="F19" s="110">
        <v>100000</v>
      </c>
      <c r="G19" s="91">
        <f t="shared" si="0"/>
        <v>200000</v>
      </c>
    </row>
    <row r="20" spans="1:7">
      <c r="A20" s="3"/>
      <c r="B20" s="88">
        <v>16</v>
      </c>
      <c r="C20" s="109" t="s">
        <v>25</v>
      </c>
      <c r="D20" s="88" t="s">
        <v>8</v>
      </c>
      <c r="E20" s="88">
        <v>6</v>
      </c>
      <c r="F20" s="110">
        <v>1500</v>
      </c>
      <c r="G20" s="91">
        <f t="shared" si="0"/>
        <v>9000</v>
      </c>
    </row>
    <row r="21" spans="1:7">
      <c r="A21" s="3"/>
      <c r="B21" s="88">
        <v>17</v>
      </c>
      <c r="C21" s="109" t="s">
        <v>26</v>
      </c>
      <c r="D21" s="88" t="s">
        <v>8</v>
      </c>
      <c r="E21" s="88">
        <v>40</v>
      </c>
      <c r="F21" s="110">
        <v>600</v>
      </c>
      <c r="G21" s="91">
        <f t="shared" si="0"/>
        <v>24000</v>
      </c>
    </row>
    <row r="22" spans="1:7">
      <c r="A22" s="3"/>
      <c r="B22" s="88">
        <v>18</v>
      </c>
      <c r="C22" s="109" t="s">
        <v>27</v>
      </c>
      <c r="D22" s="88" t="s">
        <v>28</v>
      </c>
      <c r="E22" s="88">
        <v>18</v>
      </c>
      <c r="F22" s="110">
        <v>1300</v>
      </c>
      <c r="G22" s="91">
        <f t="shared" si="0"/>
        <v>23400</v>
      </c>
    </row>
    <row r="23" spans="1:7" ht="16" customHeight="1">
      <c r="A23" s="3"/>
      <c r="B23" s="88">
        <v>19</v>
      </c>
      <c r="C23" s="109" t="s">
        <v>29</v>
      </c>
      <c r="D23" s="88" t="s">
        <v>28</v>
      </c>
      <c r="E23" s="88">
        <v>8</v>
      </c>
      <c r="F23" s="110">
        <v>1800</v>
      </c>
      <c r="G23" s="91">
        <f t="shared" si="0"/>
        <v>14400</v>
      </c>
    </row>
    <row r="24" spans="1:7">
      <c r="A24" s="3"/>
      <c r="B24" s="88">
        <v>20</v>
      </c>
      <c r="C24" s="109" t="s">
        <v>30</v>
      </c>
      <c r="D24" s="88" t="s">
        <v>8</v>
      </c>
      <c r="E24" s="88">
        <v>8</v>
      </c>
      <c r="F24" s="110">
        <v>1800</v>
      </c>
      <c r="G24" s="91">
        <f t="shared" si="0"/>
        <v>14400</v>
      </c>
    </row>
    <row r="25" spans="1:7">
      <c r="A25" s="3"/>
      <c r="B25" s="88">
        <v>21</v>
      </c>
      <c r="C25" s="109" t="s">
        <v>31</v>
      </c>
      <c r="D25" s="88" t="s">
        <v>8</v>
      </c>
      <c r="E25" s="88">
        <v>1</v>
      </c>
      <c r="F25" s="110">
        <v>23000</v>
      </c>
      <c r="G25" s="91">
        <f t="shared" si="0"/>
        <v>23000</v>
      </c>
    </row>
    <row r="26" spans="1:7">
      <c r="A26" s="3"/>
      <c r="B26" s="88">
        <v>22</v>
      </c>
      <c r="C26" s="109" t="s">
        <v>32</v>
      </c>
      <c r="D26" s="88" t="s">
        <v>8</v>
      </c>
      <c r="E26" s="88">
        <v>12</v>
      </c>
      <c r="F26" s="110">
        <v>25000</v>
      </c>
      <c r="G26" s="91">
        <f t="shared" si="0"/>
        <v>300000</v>
      </c>
    </row>
    <row r="27" spans="1:7" ht="16" customHeight="1">
      <c r="A27" s="3"/>
      <c r="B27" s="88">
        <v>23</v>
      </c>
      <c r="C27" s="109" t="s">
        <v>33</v>
      </c>
      <c r="D27" s="88" t="s">
        <v>8</v>
      </c>
      <c r="E27" s="88">
        <v>1</v>
      </c>
      <c r="F27" s="110">
        <v>23000</v>
      </c>
      <c r="G27" s="91">
        <f t="shared" si="0"/>
        <v>23000</v>
      </c>
    </row>
    <row r="28" spans="1:7">
      <c r="A28" s="3"/>
      <c r="B28" s="88">
        <v>24</v>
      </c>
      <c r="C28" s="109" t="s">
        <v>34</v>
      </c>
      <c r="D28" s="88" t="s">
        <v>8</v>
      </c>
      <c r="E28" s="88">
        <v>2</v>
      </c>
      <c r="F28" s="110">
        <v>25000</v>
      </c>
      <c r="G28" s="91">
        <f t="shared" si="0"/>
        <v>50000</v>
      </c>
    </row>
    <row r="29" spans="1:7">
      <c r="A29" s="3"/>
      <c r="B29" s="88">
        <v>25</v>
      </c>
      <c r="C29" s="109" t="s">
        <v>35</v>
      </c>
      <c r="D29" s="88" t="s">
        <v>8</v>
      </c>
      <c r="E29" s="88">
        <v>1</v>
      </c>
      <c r="F29" s="110">
        <v>29000</v>
      </c>
      <c r="G29" s="91">
        <f t="shared" si="0"/>
        <v>29000</v>
      </c>
    </row>
    <row r="30" spans="1:7" ht="30">
      <c r="A30" s="3"/>
      <c r="B30" s="88">
        <v>26</v>
      </c>
      <c r="C30" s="109" t="s">
        <v>36</v>
      </c>
      <c r="D30" s="88" t="s">
        <v>8</v>
      </c>
      <c r="E30" s="88">
        <v>1</v>
      </c>
      <c r="F30" s="110">
        <v>75000</v>
      </c>
      <c r="G30" s="91">
        <f t="shared" si="0"/>
        <v>75000</v>
      </c>
    </row>
    <row r="31" spans="1:7">
      <c r="A31" s="3"/>
      <c r="B31" s="88">
        <v>27</v>
      </c>
      <c r="C31" s="109" t="s">
        <v>37</v>
      </c>
      <c r="D31" s="88" t="s">
        <v>8</v>
      </c>
      <c r="E31" s="88">
        <v>2</v>
      </c>
      <c r="F31" s="110">
        <v>150000</v>
      </c>
      <c r="G31" s="91">
        <f t="shared" si="0"/>
        <v>300000</v>
      </c>
    </row>
    <row r="32" spans="1:7" ht="16" customHeight="1">
      <c r="A32" s="3"/>
      <c r="B32" s="192" t="s">
        <v>38</v>
      </c>
      <c r="C32" s="192"/>
      <c r="D32" s="192"/>
      <c r="E32" s="192"/>
      <c r="F32" s="9"/>
      <c r="G32" s="10">
        <f>SUM(G5:G31)</f>
        <v>18254600</v>
      </c>
    </row>
    <row r="33" spans="1:7" ht="15" customHeight="1">
      <c r="A33" s="11"/>
      <c r="B33" s="12" t="s">
        <v>39</v>
      </c>
      <c r="C33" s="13"/>
      <c r="D33" s="13"/>
      <c r="E33" s="13"/>
      <c r="F33" s="13"/>
      <c r="G33" s="13"/>
    </row>
    <row r="34" spans="1:7">
      <c r="A34" s="11"/>
      <c r="B34" s="88">
        <v>1</v>
      </c>
      <c r="C34" s="109" t="s">
        <v>40</v>
      </c>
      <c r="D34" s="88" t="s">
        <v>41</v>
      </c>
      <c r="E34" s="88">
        <v>1000</v>
      </c>
      <c r="F34" s="88">
        <v>700</v>
      </c>
      <c r="G34" s="89">
        <f>F34*E34</f>
        <v>700000</v>
      </c>
    </row>
    <row r="35" spans="1:7" ht="16" customHeight="1">
      <c r="A35" s="11"/>
      <c r="B35" s="88">
        <v>4</v>
      </c>
      <c r="C35" s="109" t="s">
        <v>42</v>
      </c>
      <c r="D35" s="88" t="s">
        <v>8</v>
      </c>
      <c r="E35" s="88">
        <v>1</v>
      </c>
      <c r="F35" s="88">
        <v>17000</v>
      </c>
      <c r="G35" s="89">
        <f>F35*E35</f>
        <v>17000</v>
      </c>
    </row>
    <row r="36" spans="1:7" ht="30">
      <c r="A36" s="11"/>
      <c r="B36" s="88">
        <v>5</v>
      </c>
      <c r="C36" s="109" t="s">
        <v>43</v>
      </c>
      <c r="D36" s="88" t="s">
        <v>8</v>
      </c>
      <c r="E36" s="88">
        <v>3</v>
      </c>
      <c r="F36" s="88">
        <v>5000</v>
      </c>
      <c r="G36" s="89">
        <f>F36*E36</f>
        <v>15000</v>
      </c>
    </row>
    <row r="37" spans="1:7">
      <c r="A37" s="11"/>
      <c r="B37" s="88">
        <v>6</v>
      </c>
      <c r="C37" s="109" t="s">
        <v>44</v>
      </c>
      <c r="D37" s="88" t="s">
        <v>8</v>
      </c>
      <c r="E37" s="88">
        <v>1</v>
      </c>
      <c r="F37" s="88">
        <v>30000</v>
      </c>
      <c r="G37" s="89">
        <f>F37*E37</f>
        <v>30000</v>
      </c>
    </row>
    <row r="38" spans="1:7">
      <c r="A38" s="11"/>
      <c r="B38" s="88">
        <v>7</v>
      </c>
      <c r="C38" s="109" t="s">
        <v>45</v>
      </c>
      <c r="D38" s="88" t="s">
        <v>8</v>
      </c>
      <c r="E38" s="88">
        <v>4</v>
      </c>
      <c r="F38" s="88">
        <v>10000</v>
      </c>
      <c r="G38" s="89">
        <f>F38*E38</f>
        <v>40000</v>
      </c>
    </row>
    <row r="39" spans="1:7">
      <c r="A39" s="11"/>
      <c r="B39" s="88">
        <v>8</v>
      </c>
      <c r="C39" s="109" t="s">
        <v>46</v>
      </c>
      <c r="D39" s="88"/>
      <c r="E39" s="88"/>
      <c r="F39" s="88"/>
      <c r="G39" s="89">
        <v>150000</v>
      </c>
    </row>
    <row r="40" spans="1:7" ht="30">
      <c r="A40" s="11"/>
      <c r="B40" s="88">
        <v>9</v>
      </c>
      <c r="C40" s="109" t="s">
        <v>47</v>
      </c>
      <c r="D40" s="88" t="s">
        <v>8</v>
      </c>
      <c r="E40" s="88">
        <v>1</v>
      </c>
      <c r="F40" s="88">
        <v>2040000</v>
      </c>
      <c r="G40" s="89">
        <f>F40*E40</f>
        <v>2040000</v>
      </c>
    </row>
    <row r="41" spans="1:7">
      <c r="A41" s="11"/>
      <c r="B41" s="192" t="s">
        <v>38</v>
      </c>
      <c r="C41" s="192"/>
      <c r="D41" s="192"/>
      <c r="E41" s="192"/>
      <c r="F41" s="9"/>
      <c r="G41" s="14">
        <f>SUM(G34:G40)</f>
        <v>2992000</v>
      </c>
    </row>
    <row r="42" spans="1:7" ht="15" customHeight="1">
      <c r="A42" s="11"/>
      <c r="B42" s="5" t="s">
        <v>48</v>
      </c>
      <c r="C42" s="15"/>
      <c r="D42" s="15"/>
      <c r="E42" s="15"/>
      <c r="F42" s="15"/>
      <c r="G42" s="15"/>
    </row>
    <row r="43" spans="1:7" ht="30">
      <c r="A43" s="11"/>
      <c r="B43" s="88">
        <v>1</v>
      </c>
      <c r="C43" s="109" t="s">
        <v>49</v>
      </c>
      <c r="D43" s="88" t="s">
        <v>8</v>
      </c>
      <c r="E43" s="88">
        <v>20</v>
      </c>
      <c r="F43" s="88">
        <v>2500</v>
      </c>
      <c r="G43" s="89">
        <f t="shared" ref="G43:G48" si="1">F43*E43</f>
        <v>50000</v>
      </c>
    </row>
    <row r="44" spans="1:7">
      <c r="A44" s="11"/>
      <c r="B44" s="88">
        <v>2</v>
      </c>
      <c r="C44" s="109" t="s">
        <v>50</v>
      </c>
      <c r="D44" s="88" t="s">
        <v>8</v>
      </c>
      <c r="E44" s="88">
        <v>10</v>
      </c>
      <c r="F44" s="88">
        <v>1500</v>
      </c>
      <c r="G44" s="89">
        <f t="shared" si="1"/>
        <v>15000</v>
      </c>
    </row>
    <row r="45" spans="1:7">
      <c r="A45" s="11"/>
      <c r="B45" s="88">
        <v>3</v>
      </c>
      <c r="C45" s="109" t="s">
        <v>51</v>
      </c>
      <c r="D45" s="88" t="s">
        <v>52</v>
      </c>
      <c r="E45" s="88">
        <v>14</v>
      </c>
      <c r="F45" s="88">
        <v>15000</v>
      </c>
      <c r="G45" s="89">
        <f t="shared" si="1"/>
        <v>210000</v>
      </c>
    </row>
    <row r="46" spans="1:7">
      <c r="A46" s="11"/>
      <c r="B46" s="88">
        <v>4</v>
      </c>
      <c r="C46" s="109" t="s">
        <v>53</v>
      </c>
      <c r="D46" s="88" t="s">
        <v>52</v>
      </c>
      <c r="E46" s="88">
        <v>80</v>
      </c>
      <c r="F46" s="88">
        <v>1000</v>
      </c>
      <c r="G46" s="89">
        <f t="shared" si="1"/>
        <v>80000</v>
      </c>
    </row>
    <row r="47" spans="1:7">
      <c r="A47" s="11"/>
      <c r="B47" s="88">
        <v>5</v>
      </c>
      <c r="C47" s="109" t="s">
        <v>54</v>
      </c>
      <c r="D47" s="88" t="s">
        <v>55</v>
      </c>
      <c r="E47" s="88">
        <v>5</v>
      </c>
      <c r="F47" s="88">
        <v>15000</v>
      </c>
      <c r="G47" s="89">
        <f t="shared" si="1"/>
        <v>75000</v>
      </c>
    </row>
    <row r="48" spans="1:7">
      <c r="A48" s="11"/>
      <c r="B48" s="88">
        <v>6</v>
      </c>
      <c r="C48" s="109" t="s">
        <v>56</v>
      </c>
      <c r="D48" s="88" t="s">
        <v>52</v>
      </c>
      <c r="E48" s="88">
        <v>60</v>
      </c>
      <c r="F48" s="88">
        <v>2500</v>
      </c>
      <c r="G48" s="89">
        <f t="shared" si="1"/>
        <v>150000</v>
      </c>
    </row>
    <row r="49" spans="1:7" ht="16" customHeight="1">
      <c r="A49" s="11"/>
      <c r="B49" s="88">
        <v>7</v>
      </c>
      <c r="C49" s="109" t="s">
        <v>57</v>
      </c>
      <c r="D49" s="88" t="s">
        <v>58</v>
      </c>
      <c r="E49" s="88">
        <v>5000</v>
      </c>
      <c r="F49" s="88"/>
      <c r="G49" s="89">
        <v>5000</v>
      </c>
    </row>
    <row r="50" spans="1:7">
      <c r="A50" s="11"/>
      <c r="B50" s="88">
        <v>8</v>
      </c>
      <c r="C50" s="109" t="s">
        <v>59</v>
      </c>
      <c r="D50" s="88" t="s">
        <v>60</v>
      </c>
      <c r="E50" s="88">
        <v>6000</v>
      </c>
      <c r="F50" s="88"/>
      <c r="G50" s="89">
        <v>18000</v>
      </c>
    </row>
    <row r="51" spans="1:7">
      <c r="A51" s="11"/>
      <c r="B51" s="192" t="s">
        <v>38</v>
      </c>
      <c r="C51" s="192"/>
      <c r="D51" s="192"/>
      <c r="E51" s="192"/>
      <c r="F51" s="6"/>
      <c r="G51" s="14">
        <f>SUM(G43:G50)</f>
        <v>603000</v>
      </c>
    </row>
    <row r="52" spans="1:7" ht="15" customHeight="1">
      <c r="A52" s="11"/>
      <c r="B52" s="12" t="s">
        <v>61</v>
      </c>
      <c r="C52" s="15"/>
      <c r="D52" s="15"/>
      <c r="E52" s="15"/>
      <c r="F52" s="15"/>
      <c r="G52" s="15"/>
    </row>
    <row r="53" spans="1:7">
      <c r="A53" s="11"/>
      <c r="B53" s="88">
        <v>1</v>
      </c>
      <c r="C53" s="109" t="s">
        <v>62</v>
      </c>
      <c r="D53" s="88" t="s">
        <v>63</v>
      </c>
      <c r="E53" s="88">
        <v>1</v>
      </c>
      <c r="F53" s="88">
        <v>1600000</v>
      </c>
      <c r="G53" s="89">
        <f>F53*E53</f>
        <v>1600000</v>
      </c>
    </row>
    <row r="54" spans="1:7">
      <c r="A54" s="11"/>
      <c r="B54" s="88">
        <v>2</v>
      </c>
      <c r="C54" s="109" t="s">
        <v>64</v>
      </c>
      <c r="D54" s="88" t="s">
        <v>63</v>
      </c>
      <c r="E54" s="88">
        <v>1</v>
      </c>
      <c r="F54" s="88">
        <v>2000000</v>
      </c>
      <c r="G54" s="89">
        <f>F54*E54</f>
        <v>2000000</v>
      </c>
    </row>
    <row r="55" spans="1:7">
      <c r="A55" s="11"/>
      <c r="B55" s="88">
        <v>3</v>
      </c>
      <c r="C55" s="109" t="s">
        <v>65</v>
      </c>
      <c r="D55" s="88" t="s">
        <v>63</v>
      </c>
      <c r="E55" s="88">
        <v>1</v>
      </c>
      <c r="F55" s="88">
        <v>600000</v>
      </c>
      <c r="G55" s="89">
        <f>F55*E55</f>
        <v>600000</v>
      </c>
    </row>
    <row r="56" spans="1:7">
      <c r="A56" s="11"/>
      <c r="B56" s="88">
        <v>5</v>
      </c>
      <c r="C56" s="109" t="s">
        <v>66</v>
      </c>
      <c r="D56" s="88" t="s">
        <v>63</v>
      </c>
      <c r="E56" s="88">
        <v>2</v>
      </c>
      <c r="F56" s="88">
        <v>300000</v>
      </c>
      <c r="G56" s="89">
        <f>F56*E56</f>
        <v>600000</v>
      </c>
    </row>
    <row r="57" spans="1:7">
      <c r="A57" s="11"/>
      <c r="B57" s="88">
        <v>6</v>
      </c>
      <c r="C57" s="109" t="s">
        <v>67</v>
      </c>
      <c r="D57" s="88" t="s">
        <v>63</v>
      </c>
      <c r="E57" s="88">
        <v>1</v>
      </c>
      <c r="F57" s="88">
        <v>700000</v>
      </c>
      <c r="G57" s="89">
        <f>F57*E57</f>
        <v>700000</v>
      </c>
    </row>
    <row r="58" spans="1:7">
      <c r="A58" s="11"/>
      <c r="B58" s="192" t="s">
        <v>38</v>
      </c>
      <c r="C58" s="192"/>
      <c r="D58" s="192"/>
      <c r="E58" s="192"/>
      <c r="F58" s="9"/>
      <c r="G58" s="14">
        <f>SUM(G53:G57)</f>
        <v>5500000</v>
      </c>
    </row>
    <row r="59" spans="1:7" ht="15" customHeight="1">
      <c r="A59" s="11"/>
      <c r="B59" s="5" t="s">
        <v>68</v>
      </c>
      <c r="C59" s="5"/>
      <c r="D59" s="5"/>
      <c r="E59" s="5"/>
      <c r="F59" s="5"/>
      <c r="G59" s="16"/>
    </row>
    <row r="60" spans="1:7" ht="30">
      <c r="A60" s="11"/>
      <c r="B60" s="88">
        <v>1</v>
      </c>
      <c r="C60" s="109" t="s">
        <v>69</v>
      </c>
      <c r="D60" s="88"/>
      <c r="E60" s="88"/>
      <c r="F60" s="88"/>
      <c r="G60" s="89">
        <v>400000</v>
      </c>
    </row>
    <row r="61" spans="1:7">
      <c r="A61" s="11"/>
      <c r="B61" s="88">
        <v>2</v>
      </c>
      <c r="C61" s="109" t="s">
        <v>70</v>
      </c>
      <c r="D61" s="88"/>
      <c r="E61" s="88"/>
      <c r="F61" s="88"/>
      <c r="G61" s="89">
        <v>600000</v>
      </c>
    </row>
    <row r="62" spans="1:7">
      <c r="A62" s="11"/>
      <c r="B62" s="192" t="s">
        <v>38</v>
      </c>
      <c r="C62" s="192"/>
      <c r="D62" s="192"/>
      <c r="E62" s="192"/>
      <c r="F62" s="6"/>
      <c r="G62" s="14">
        <f>SUM(G60:G61)</f>
        <v>1000000</v>
      </c>
    </row>
    <row r="63" spans="1:7">
      <c r="A63" s="11"/>
      <c r="B63" s="17"/>
      <c r="C63" s="17"/>
      <c r="D63" s="17"/>
      <c r="E63" s="17"/>
      <c r="F63" s="6"/>
      <c r="G63" s="18"/>
    </row>
    <row r="64" spans="1:7" ht="15" customHeight="1">
      <c r="A64" s="11"/>
      <c r="B64" s="192" t="s">
        <v>71</v>
      </c>
      <c r="C64" s="192"/>
      <c r="D64" s="192"/>
      <c r="E64" s="192"/>
      <c r="F64" s="9"/>
      <c r="G64" s="10">
        <f>G32+G41+G51+G58+G62</f>
        <v>28349600</v>
      </c>
    </row>
    <row r="65" spans="1:7">
      <c r="A65" s="11"/>
      <c r="B65" s="11"/>
      <c r="C65" s="11"/>
      <c r="D65" s="11"/>
      <c r="E65" s="11"/>
      <c r="F65" s="11"/>
      <c r="G65" s="11"/>
    </row>
    <row r="66" spans="1:7">
      <c r="A66" s="11"/>
      <c r="B66" s="11"/>
      <c r="C66" s="11"/>
      <c r="D66" s="11"/>
      <c r="E66" s="11"/>
      <c r="F66" s="11"/>
      <c r="G66" s="11"/>
    </row>
  </sheetData>
  <mergeCells count="7">
    <mergeCell ref="B64:E64"/>
    <mergeCell ref="B1:G1"/>
    <mergeCell ref="B32:E32"/>
    <mergeCell ref="B41:E41"/>
    <mergeCell ref="B51:E51"/>
    <mergeCell ref="B58:E58"/>
    <mergeCell ref="B62:E6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1"/>
  <sheetViews>
    <sheetView topLeftCell="A37" zoomScale="125" zoomScaleNormal="125" zoomScalePageLayoutView="125" workbookViewId="0">
      <selection activeCell="J50" sqref="J50"/>
    </sheetView>
  </sheetViews>
  <sheetFormatPr baseColWidth="10" defaultRowHeight="15" x14ac:dyDescent="0"/>
  <cols>
    <col min="1" max="1" width="4.1640625" style="1" customWidth="1"/>
    <col min="2" max="2" width="4.6640625" style="1" customWidth="1"/>
    <col min="3" max="3" width="32.6640625" style="1" customWidth="1"/>
    <col min="4" max="4" width="14" style="1" customWidth="1"/>
    <col min="5" max="5" width="13.5" style="1" customWidth="1"/>
    <col min="6" max="6" width="17.1640625" style="1" customWidth="1"/>
    <col min="7" max="16384" width="10.83203125" style="1"/>
  </cols>
  <sheetData>
    <row r="1" spans="2:7" ht="16">
      <c r="B1" s="19"/>
      <c r="C1" s="193" t="s">
        <v>72</v>
      </c>
      <c r="D1" s="193"/>
      <c r="E1" s="193"/>
      <c r="F1" s="193"/>
      <c r="G1" s="193"/>
    </row>
    <row r="3" spans="2:7" ht="32" customHeight="1"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</row>
    <row r="4" spans="2:7" ht="15" customHeight="1">
      <c r="B4" s="5" t="s">
        <v>73</v>
      </c>
      <c r="C4" s="5"/>
      <c r="D4" s="5"/>
      <c r="E4" s="5"/>
      <c r="F4" s="5"/>
      <c r="G4" s="5"/>
    </row>
    <row r="5" spans="2:7">
      <c r="B5" s="6">
        <v>1</v>
      </c>
      <c r="C5" s="7" t="s">
        <v>74</v>
      </c>
      <c r="D5" s="6" t="s">
        <v>75</v>
      </c>
      <c r="E5" s="6">
        <v>72</v>
      </c>
      <c r="F5" s="8">
        <v>4300</v>
      </c>
      <c r="G5" s="20">
        <f>E5*F5</f>
        <v>309600</v>
      </c>
    </row>
    <row r="6" spans="2:7">
      <c r="B6" s="6">
        <v>2</v>
      </c>
      <c r="C6" s="7" t="s">
        <v>76</v>
      </c>
      <c r="D6" s="6" t="s">
        <v>75</v>
      </c>
      <c r="E6" s="6">
        <v>5</v>
      </c>
      <c r="F6" s="6">
        <v>2500</v>
      </c>
      <c r="G6" s="20">
        <f t="shared" ref="G6:G21" si="0">E6*F6</f>
        <v>12500</v>
      </c>
    </row>
    <row r="7" spans="2:7">
      <c r="B7" s="6">
        <v>3</v>
      </c>
      <c r="C7" s="7" t="s">
        <v>77</v>
      </c>
      <c r="D7" s="6" t="s">
        <v>78</v>
      </c>
      <c r="E7" s="6">
        <v>48</v>
      </c>
      <c r="F7" s="6">
        <v>1000</v>
      </c>
      <c r="G7" s="20">
        <f t="shared" si="0"/>
        <v>48000</v>
      </c>
    </row>
    <row r="8" spans="2:7">
      <c r="B8" s="6">
        <v>4</v>
      </c>
      <c r="C8" s="7" t="s">
        <v>79</v>
      </c>
      <c r="D8" s="6" t="s">
        <v>75</v>
      </c>
      <c r="E8" s="6">
        <v>0.8</v>
      </c>
      <c r="F8" s="6">
        <v>25000</v>
      </c>
      <c r="G8" s="20">
        <f t="shared" si="0"/>
        <v>20000</v>
      </c>
    </row>
    <row r="9" spans="2:7" ht="30">
      <c r="B9" s="6">
        <v>5</v>
      </c>
      <c r="C9" s="7" t="s">
        <v>80</v>
      </c>
      <c r="D9" s="6" t="s">
        <v>78</v>
      </c>
      <c r="E9" s="6">
        <v>39</v>
      </c>
      <c r="F9" s="6">
        <v>3000</v>
      </c>
      <c r="G9" s="20">
        <f t="shared" si="0"/>
        <v>117000</v>
      </c>
    </row>
    <row r="10" spans="2:7">
      <c r="B10" s="6">
        <v>6</v>
      </c>
      <c r="C10" s="7" t="s">
        <v>81</v>
      </c>
      <c r="D10" s="6" t="s">
        <v>75</v>
      </c>
      <c r="E10" s="6">
        <v>12</v>
      </c>
      <c r="F10" s="6">
        <v>3000</v>
      </c>
      <c r="G10" s="20">
        <f t="shared" si="0"/>
        <v>36000</v>
      </c>
    </row>
    <row r="11" spans="2:7" ht="30">
      <c r="B11" s="6">
        <v>7</v>
      </c>
      <c r="C11" s="7" t="s">
        <v>82</v>
      </c>
      <c r="D11" s="6" t="s">
        <v>78</v>
      </c>
      <c r="E11" s="6">
        <v>32</v>
      </c>
      <c r="F11" s="6">
        <v>1000</v>
      </c>
      <c r="G11" s="20">
        <f t="shared" si="0"/>
        <v>32000</v>
      </c>
    </row>
    <row r="12" spans="2:7" ht="30">
      <c r="B12" s="6">
        <v>8</v>
      </c>
      <c r="C12" s="7" t="s">
        <v>83</v>
      </c>
      <c r="D12" s="6" t="s">
        <v>78</v>
      </c>
      <c r="E12" s="6">
        <v>32</v>
      </c>
      <c r="F12" s="6">
        <v>3000</v>
      </c>
      <c r="G12" s="20">
        <f t="shared" si="0"/>
        <v>96000</v>
      </c>
    </row>
    <row r="13" spans="2:7" ht="15" customHeight="1">
      <c r="B13" s="21" t="s">
        <v>84</v>
      </c>
      <c r="C13" s="21"/>
      <c r="D13" s="21"/>
      <c r="E13" s="21"/>
      <c r="F13" s="21"/>
      <c r="G13" s="22"/>
    </row>
    <row r="14" spans="2:7">
      <c r="B14" s="6">
        <v>1</v>
      </c>
      <c r="C14" s="7" t="s">
        <v>85</v>
      </c>
      <c r="D14" s="6" t="s">
        <v>52</v>
      </c>
      <c r="E14" s="6">
        <v>350</v>
      </c>
      <c r="F14" s="6">
        <v>1000</v>
      </c>
      <c r="G14" s="20">
        <f t="shared" si="0"/>
        <v>350000</v>
      </c>
    </row>
    <row r="15" spans="2:7">
      <c r="B15" s="6">
        <v>2</v>
      </c>
      <c r="C15" s="7" t="s">
        <v>86</v>
      </c>
      <c r="D15" s="6" t="s">
        <v>87</v>
      </c>
      <c r="E15" s="6">
        <v>11</v>
      </c>
      <c r="F15" s="6">
        <v>15000</v>
      </c>
      <c r="G15" s="20">
        <f t="shared" si="0"/>
        <v>165000</v>
      </c>
    </row>
    <row r="16" spans="2:7">
      <c r="B16" s="6">
        <v>3</v>
      </c>
      <c r="C16" s="7" t="s">
        <v>88</v>
      </c>
      <c r="D16" s="6"/>
      <c r="E16" s="6"/>
      <c r="F16" s="6"/>
      <c r="G16" s="20"/>
    </row>
    <row r="17" spans="2:7">
      <c r="B17" s="6">
        <v>4</v>
      </c>
      <c r="C17" s="7" t="s">
        <v>89</v>
      </c>
      <c r="D17" s="6" t="s">
        <v>90</v>
      </c>
      <c r="E17" s="6">
        <v>1</v>
      </c>
      <c r="F17" s="6">
        <v>320000</v>
      </c>
      <c r="G17" s="20">
        <f t="shared" si="0"/>
        <v>320000</v>
      </c>
    </row>
    <row r="18" spans="2:7">
      <c r="B18" s="6">
        <v>5</v>
      </c>
      <c r="C18" s="7" t="s">
        <v>91</v>
      </c>
      <c r="D18" s="6" t="s">
        <v>92</v>
      </c>
      <c r="E18" s="6">
        <v>2</v>
      </c>
      <c r="F18" s="6">
        <v>33600</v>
      </c>
      <c r="G18" s="20">
        <f t="shared" si="0"/>
        <v>67200</v>
      </c>
    </row>
    <row r="19" spans="2:7">
      <c r="B19" s="6">
        <v>6</v>
      </c>
      <c r="C19" s="7" t="s">
        <v>93</v>
      </c>
      <c r="D19" s="6" t="s">
        <v>92</v>
      </c>
      <c r="E19" s="6">
        <v>3</v>
      </c>
      <c r="F19" s="6">
        <v>35200</v>
      </c>
      <c r="G19" s="20">
        <f t="shared" si="0"/>
        <v>105600</v>
      </c>
    </row>
    <row r="20" spans="2:7">
      <c r="B20" s="6">
        <v>7</v>
      </c>
      <c r="C20" s="7" t="s">
        <v>94</v>
      </c>
      <c r="D20" s="6" t="s">
        <v>8</v>
      </c>
      <c r="E20" s="6">
        <v>2</v>
      </c>
      <c r="F20" s="6">
        <v>80000</v>
      </c>
      <c r="G20" s="20">
        <f t="shared" si="0"/>
        <v>160000</v>
      </c>
    </row>
    <row r="21" spans="2:7">
      <c r="B21" s="6">
        <v>8</v>
      </c>
      <c r="C21" s="7" t="s">
        <v>95</v>
      </c>
      <c r="D21" s="6" t="s">
        <v>8</v>
      </c>
      <c r="E21" s="6">
        <v>4</v>
      </c>
      <c r="F21" s="6">
        <v>120000</v>
      </c>
      <c r="G21" s="20">
        <f t="shared" si="0"/>
        <v>480000</v>
      </c>
    </row>
    <row r="22" spans="2:7">
      <c r="B22" s="192" t="s">
        <v>38</v>
      </c>
      <c r="C22" s="192"/>
      <c r="D22" s="192"/>
      <c r="E22" s="192"/>
      <c r="F22" s="192"/>
      <c r="G22" s="23">
        <f>SUM(G5:G21)</f>
        <v>2318900</v>
      </c>
    </row>
    <row r="23" spans="2:7" ht="15" customHeight="1">
      <c r="B23" s="5" t="s">
        <v>96</v>
      </c>
      <c r="C23" s="5"/>
      <c r="D23" s="5"/>
      <c r="E23" s="5"/>
      <c r="F23" s="5"/>
      <c r="G23" s="24"/>
    </row>
    <row r="24" spans="2:7">
      <c r="B24" s="6">
        <v>1</v>
      </c>
      <c r="C24" s="7" t="s">
        <v>97</v>
      </c>
      <c r="D24" s="6" t="s">
        <v>78</v>
      </c>
      <c r="E24" s="6">
        <v>1.5</v>
      </c>
      <c r="F24" s="6">
        <v>5000</v>
      </c>
      <c r="G24" s="20">
        <f>E24*F24</f>
        <v>7500</v>
      </c>
    </row>
    <row r="25" spans="2:7">
      <c r="B25" s="6">
        <v>2</v>
      </c>
      <c r="C25" s="7" t="s">
        <v>98</v>
      </c>
      <c r="D25" s="6" t="s">
        <v>75</v>
      </c>
      <c r="E25" s="6">
        <v>1.5</v>
      </c>
      <c r="F25" s="6">
        <v>25000</v>
      </c>
      <c r="G25" s="20">
        <f>E25*F25</f>
        <v>37500</v>
      </c>
    </row>
    <row r="26" spans="2:7">
      <c r="B26" s="6">
        <v>3</v>
      </c>
      <c r="C26" s="7" t="s">
        <v>99</v>
      </c>
      <c r="D26" s="6" t="s">
        <v>8</v>
      </c>
      <c r="E26" s="6">
        <v>1</v>
      </c>
      <c r="F26" s="6">
        <v>10000</v>
      </c>
      <c r="G26" s="20">
        <f>E26*F26</f>
        <v>10000</v>
      </c>
    </row>
    <row r="27" spans="2:7" ht="15" customHeight="1">
      <c r="B27" s="21" t="s">
        <v>84</v>
      </c>
      <c r="C27" s="21"/>
      <c r="D27" s="21"/>
      <c r="E27" s="21"/>
      <c r="F27" s="21"/>
      <c r="G27" s="22"/>
    </row>
    <row r="28" spans="2:7">
      <c r="B28" s="6">
        <v>1</v>
      </c>
      <c r="C28" s="7" t="s">
        <v>89</v>
      </c>
      <c r="D28" s="6" t="s">
        <v>92</v>
      </c>
      <c r="E28" s="6">
        <v>0.5</v>
      </c>
      <c r="F28" s="6">
        <v>320000</v>
      </c>
      <c r="G28" s="20">
        <f>E28*F28</f>
        <v>160000</v>
      </c>
    </row>
    <row r="29" spans="2:7">
      <c r="B29" s="6">
        <v>2</v>
      </c>
      <c r="C29" s="7" t="s">
        <v>91</v>
      </c>
      <c r="D29" s="6" t="s">
        <v>92</v>
      </c>
      <c r="E29" s="6">
        <v>1</v>
      </c>
      <c r="F29" s="6">
        <v>33600</v>
      </c>
      <c r="G29" s="20">
        <f>E29*F29</f>
        <v>33600</v>
      </c>
    </row>
    <row r="30" spans="2:7">
      <c r="B30" s="6">
        <v>3</v>
      </c>
      <c r="C30" s="7" t="s">
        <v>93</v>
      </c>
      <c r="D30" s="6" t="s">
        <v>92</v>
      </c>
      <c r="E30" s="6">
        <v>1.6</v>
      </c>
      <c r="F30" s="6">
        <v>35200</v>
      </c>
      <c r="G30" s="20">
        <f>E30*F30</f>
        <v>56320</v>
      </c>
    </row>
    <row r="31" spans="2:7">
      <c r="B31" s="192" t="s">
        <v>38</v>
      </c>
      <c r="C31" s="192"/>
      <c r="D31" s="192"/>
      <c r="E31" s="192"/>
      <c r="F31" s="192"/>
      <c r="G31" s="23">
        <f>SUM(G24:G26,G28,G29,G30)</f>
        <v>304920</v>
      </c>
    </row>
    <row r="32" spans="2:7" ht="15" customHeight="1">
      <c r="B32" s="21" t="s">
        <v>100</v>
      </c>
      <c r="C32" s="21"/>
      <c r="D32" s="21"/>
      <c r="E32" s="21"/>
      <c r="F32" s="21"/>
      <c r="G32" s="22"/>
    </row>
    <row r="33" spans="2:7" ht="30">
      <c r="B33" s="6">
        <v>1</v>
      </c>
      <c r="C33" s="7" t="s">
        <v>101</v>
      </c>
      <c r="D33" s="6" t="s">
        <v>75</v>
      </c>
      <c r="E33" s="6">
        <v>24</v>
      </c>
      <c r="F33" s="6">
        <v>50000</v>
      </c>
      <c r="G33" s="20">
        <f>E33*F33</f>
        <v>1200000</v>
      </c>
    </row>
    <row r="34" spans="2:7">
      <c r="B34" s="6">
        <v>2</v>
      </c>
      <c r="C34" s="7" t="s">
        <v>102</v>
      </c>
      <c r="D34" s="6" t="s">
        <v>78</v>
      </c>
      <c r="E34" s="6">
        <v>15</v>
      </c>
      <c r="F34" s="6">
        <v>5000</v>
      </c>
      <c r="G34" s="20">
        <f>E34*F34</f>
        <v>75000</v>
      </c>
    </row>
    <row r="35" spans="2:7" ht="30">
      <c r="B35" s="6">
        <v>3</v>
      </c>
      <c r="C35" s="7" t="s">
        <v>103</v>
      </c>
      <c r="D35" s="6" t="s">
        <v>75</v>
      </c>
      <c r="E35" s="6">
        <v>10</v>
      </c>
      <c r="F35" s="6">
        <v>3000</v>
      </c>
      <c r="G35" s="20">
        <f>E35*F35</f>
        <v>30000</v>
      </c>
    </row>
    <row r="36" spans="2:7" ht="15" customHeight="1">
      <c r="B36" s="21" t="s">
        <v>84</v>
      </c>
      <c r="C36" s="21"/>
      <c r="D36" s="21"/>
      <c r="E36" s="21"/>
      <c r="F36" s="21"/>
      <c r="G36" s="22"/>
    </row>
    <row r="37" spans="2:7">
      <c r="B37" s="6">
        <v>1</v>
      </c>
      <c r="C37" s="7" t="s">
        <v>89</v>
      </c>
      <c r="D37" s="6" t="s">
        <v>90</v>
      </c>
      <c r="E37" s="6">
        <v>15</v>
      </c>
      <c r="F37" s="6">
        <v>320000</v>
      </c>
      <c r="G37" s="20">
        <f t="shared" ref="G37:G44" si="1">E37*F37</f>
        <v>4800000</v>
      </c>
    </row>
    <row r="38" spans="2:7">
      <c r="B38" s="6">
        <v>2</v>
      </c>
      <c r="C38" s="7" t="s">
        <v>93</v>
      </c>
      <c r="D38" s="6" t="s">
        <v>92</v>
      </c>
      <c r="E38" s="6">
        <v>30</v>
      </c>
      <c r="F38" s="6">
        <v>35200</v>
      </c>
      <c r="G38" s="20">
        <f t="shared" si="1"/>
        <v>1056000</v>
      </c>
    </row>
    <row r="39" spans="2:7">
      <c r="B39" s="6">
        <v>3</v>
      </c>
      <c r="C39" s="7" t="s">
        <v>91</v>
      </c>
      <c r="D39" s="6" t="s">
        <v>92</v>
      </c>
      <c r="E39" s="6">
        <v>20</v>
      </c>
      <c r="F39" s="6">
        <v>33600</v>
      </c>
      <c r="G39" s="20">
        <f t="shared" si="1"/>
        <v>672000</v>
      </c>
    </row>
    <row r="40" spans="2:7">
      <c r="B40" s="6">
        <v>4</v>
      </c>
      <c r="C40" s="7" t="s">
        <v>85</v>
      </c>
      <c r="D40" s="6" t="s">
        <v>52</v>
      </c>
      <c r="E40" s="6">
        <v>200</v>
      </c>
      <c r="F40" s="6">
        <v>1000</v>
      </c>
      <c r="G40" s="20">
        <f t="shared" si="1"/>
        <v>200000</v>
      </c>
    </row>
    <row r="41" spans="2:7">
      <c r="B41" s="6">
        <v>5</v>
      </c>
      <c r="C41" s="7" t="s">
        <v>104</v>
      </c>
      <c r="D41" s="6" t="s">
        <v>90</v>
      </c>
      <c r="E41" s="6">
        <v>1</v>
      </c>
      <c r="F41" s="6">
        <v>1360000</v>
      </c>
      <c r="G41" s="20">
        <f t="shared" si="1"/>
        <v>1360000</v>
      </c>
    </row>
    <row r="42" spans="2:7">
      <c r="B42" s="6">
        <v>6</v>
      </c>
      <c r="C42" s="7" t="s">
        <v>51</v>
      </c>
      <c r="D42" s="6" t="s">
        <v>105</v>
      </c>
      <c r="E42" s="6">
        <v>5</v>
      </c>
      <c r="F42" s="6">
        <v>17500</v>
      </c>
      <c r="G42" s="20">
        <f t="shared" si="1"/>
        <v>87500</v>
      </c>
    </row>
    <row r="43" spans="2:7">
      <c r="B43" s="6">
        <v>7</v>
      </c>
      <c r="C43" s="7" t="s">
        <v>54</v>
      </c>
      <c r="D43" s="6" t="s">
        <v>55</v>
      </c>
      <c r="E43" s="6">
        <v>1</v>
      </c>
      <c r="F43" s="6">
        <v>18000</v>
      </c>
      <c r="G43" s="20">
        <f t="shared" si="1"/>
        <v>18000</v>
      </c>
    </row>
    <row r="44" spans="2:7">
      <c r="B44" s="6">
        <v>8</v>
      </c>
      <c r="C44" s="7" t="s">
        <v>53</v>
      </c>
      <c r="D44" s="6" t="s">
        <v>52</v>
      </c>
      <c r="E44" s="6">
        <v>10</v>
      </c>
      <c r="F44" s="6">
        <v>1500</v>
      </c>
      <c r="G44" s="20">
        <f t="shared" si="1"/>
        <v>15000</v>
      </c>
    </row>
    <row r="45" spans="2:7">
      <c r="B45" s="192" t="s">
        <v>38</v>
      </c>
      <c r="C45" s="192"/>
      <c r="D45" s="192"/>
      <c r="E45" s="192"/>
      <c r="F45" s="192"/>
      <c r="G45" s="23">
        <f>SUM(G33:G35,G37:G44)</f>
        <v>9513500</v>
      </c>
    </row>
    <row r="46" spans="2:7" ht="15" customHeight="1">
      <c r="B46" s="5" t="s">
        <v>106</v>
      </c>
      <c r="C46" s="5"/>
      <c r="D46" s="5"/>
      <c r="E46" s="5"/>
      <c r="F46" s="5"/>
      <c r="G46" s="24"/>
    </row>
    <row r="47" spans="2:7">
      <c r="B47" s="6">
        <v>1</v>
      </c>
      <c r="C47" s="7" t="s">
        <v>107</v>
      </c>
      <c r="D47" s="6" t="s">
        <v>8</v>
      </c>
      <c r="E47" s="6">
        <v>5000</v>
      </c>
      <c r="F47" s="6">
        <v>200</v>
      </c>
      <c r="G47" s="20">
        <f>E47*F47</f>
        <v>1000000</v>
      </c>
    </row>
    <row r="48" spans="2:7" ht="30">
      <c r="B48" s="6">
        <v>2</v>
      </c>
      <c r="C48" s="7" t="s">
        <v>108</v>
      </c>
      <c r="D48" s="6" t="s">
        <v>8</v>
      </c>
      <c r="E48" s="6">
        <v>2</v>
      </c>
      <c r="F48" s="6">
        <v>2000</v>
      </c>
      <c r="G48" s="20">
        <f>E48*F48</f>
        <v>4000</v>
      </c>
    </row>
    <row r="49" spans="2:7">
      <c r="B49" s="6">
        <v>3</v>
      </c>
      <c r="C49" s="7" t="s">
        <v>109</v>
      </c>
      <c r="D49" s="6" t="s">
        <v>78</v>
      </c>
      <c r="E49" s="6">
        <v>30</v>
      </c>
      <c r="F49" s="6">
        <v>5000</v>
      </c>
      <c r="G49" s="20">
        <f>E49*F49</f>
        <v>150000</v>
      </c>
    </row>
    <row r="50" spans="2:7">
      <c r="B50" s="6">
        <v>4</v>
      </c>
      <c r="C50" s="7" t="s">
        <v>110</v>
      </c>
      <c r="D50" s="6" t="s">
        <v>78</v>
      </c>
      <c r="E50" s="6">
        <v>10</v>
      </c>
      <c r="F50" s="6">
        <v>2000</v>
      </c>
      <c r="G50" s="20">
        <f>E50*F50</f>
        <v>20000</v>
      </c>
    </row>
    <row r="51" spans="2:7" ht="15" customHeight="1">
      <c r="B51" s="21" t="s">
        <v>84</v>
      </c>
      <c r="C51" s="21"/>
      <c r="D51" s="21"/>
      <c r="E51" s="21"/>
      <c r="F51" s="21"/>
      <c r="G51" s="22"/>
    </row>
    <row r="52" spans="2:7">
      <c r="B52" s="6">
        <v>1</v>
      </c>
      <c r="C52" s="7" t="s">
        <v>111</v>
      </c>
      <c r="D52" s="6" t="s">
        <v>8</v>
      </c>
      <c r="E52" s="6">
        <v>5000</v>
      </c>
      <c r="F52" s="6">
        <v>100</v>
      </c>
      <c r="G52" s="20">
        <f t="shared" ref="G52:G58" si="2">E52*F52</f>
        <v>500000</v>
      </c>
    </row>
    <row r="53" spans="2:7">
      <c r="B53" s="6">
        <v>3</v>
      </c>
      <c r="C53" s="7" t="s">
        <v>89</v>
      </c>
      <c r="D53" s="6" t="s">
        <v>90</v>
      </c>
      <c r="E53" s="6">
        <v>1</v>
      </c>
      <c r="F53" s="6">
        <v>320000</v>
      </c>
      <c r="G53" s="20">
        <f t="shared" si="2"/>
        <v>320000</v>
      </c>
    </row>
    <row r="54" spans="2:7">
      <c r="B54" s="6">
        <v>4</v>
      </c>
      <c r="C54" s="7" t="s">
        <v>91</v>
      </c>
      <c r="D54" s="6" t="s">
        <v>92</v>
      </c>
      <c r="E54" s="6">
        <v>2</v>
      </c>
      <c r="F54" s="6">
        <v>33000</v>
      </c>
      <c r="G54" s="20">
        <f t="shared" si="2"/>
        <v>66000</v>
      </c>
    </row>
    <row r="55" spans="2:7">
      <c r="B55" s="6">
        <v>5</v>
      </c>
      <c r="C55" s="7" t="s">
        <v>104</v>
      </c>
      <c r="D55" s="6" t="s">
        <v>90</v>
      </c>
      <c r="E55" s="6">
        <v>0.5</v>
      </c>
      <c r="F55" s="6">
        <v>1380000</v>
      </c>
      <c r="G55" s="20">
        <f t="shared" si="2"/>
        <v>690000</v>
      </c>
    </row>
    <row r="56" spans="2:7">
      <c r="B56" s="6">
        <v>6</v>
      </c>
      <c r="C56" s="7" t="s">
        <v>51</v>
      </c>
      <c r="D56" s="6" t="s">
        <v>105</v>
      </c>
      <c r="E56" s="6">
        <v>1</v>
      </c>
      <c r="F56" s="6">
        <v>17500</v>
      </c>
      <c r="G56" s="20">
        <f t="shared" si="2"/>
        <v>17500</v>
      </c>
    </row>
    <row r="57" spans="2:7">
      <c r="B57" s="6">
        <v>7</v>
      </c>
      <c r="C57" s="7" t="s">
        <v>54</v>
      </c>
      <c r="D57" s="6" t="s">
        <v>55</v>
      </c>
      <c r="E57" s="6">
        <v>0.5</v>
      </c>
      <c r="F57" s="6">
        <v>18000</v>
      </c>
      <c r="G57" s="20">
        <f t="shared" si="2"/>
        <v>9000</v>
      </c>
    </row>
    <row r="58" spans="2:7">
      <c r="B58" s="6">
        <v>8</v>
      </c>
      <c r="C58" s="7" t="s">
        <v>53</v>
      </c>
      <c r="D58" s="6" t="s">
        <v>52</v>
      </c>
      <c r="E58" s="6">
        <v>1</v>
      </c>
      <c r="F58" s="6">
        <v>1500</v>
      </c>
      <c r="G58" s="20">
        <f t="shared" si="2"/>
        <v>1500</v>
      </c>
    </row>
    <row r="59" spans="2:7">
      <c r="B59" s="192" t="s">
        <v>38</v>
      </c>
      <c r="C59" s="192"/>
      <c r="D59" s="192"/>
      <c r="E59" s="192"/>
      <c r="F59" s="192"/>
      <c r="G59" s="23">
        <f>SUM(G47:G50,G52:G58)</f>
        <v>2778000</v>
      </c>
    </row>
    <row r="60" spans="2:7" ht="15" customHeight="1">
      <c r="B60" s="5" t="s">
        <v>112</v>
      </c>
      <c r="C60" s="5"/>
      <c r="D60" s="5"/>
      <c r="E60" s="5"/>
      <c r="F60" s="5"/>
      <c r="G60" s="24"/>
    </row>
    <row r="61" spans="2:7">
      <c r="B61" s="6">
        <v>1</v>
      </c>
      <c r="C61" s="7" t="s">
        <v>113</v>
      </c>
      <c r="D61" s="6" t="s">
        <v>78</v>
      </c>
      <c r="E61" s="6">
        <v>24</v>
      </c>
      <c r="F61" s="6">
        <v>3000</v>
      </c>
      <c r="G61" s="20">
        <f t="shared" ref="G61:G68" si="3">E61*F61</f>
        <v>72000</v>
      </c>
    </row>
    <row r="62" spans="2:7">
      <c r="B62" s="6">
        <v>3</v>
      </c>
      <c r="C62" s="7" t="s">
        <v>114</v>
      </c>
      <c r="D62" s="6" t="s">
        <v>75</v>
      </c>
      <c r="E62" s="6">
        <v>2.4</v>
      </c>
      <c r="F62" s="6">
        <v>25000</v>
      </c>
      <c r="G62" s="20">
        <f t="shared" si="3"/>
        <v>60000</v>
      </c>
    </row>
    <row r="63" spans="2:7">
      <c r="B63" s="6">
        <v>4</v>
      </c>
      <c r="C63" s="7" t="s">
        <v>115</v>
      </c>
      <c r="D63" s="6" t="s">
        <v>78</v>
      </c>
      <c r="E63" s="6">
        <v>24</v>
      </c>
      <c r="F63" s="6">
        <v>5000</v>
      </c>
      <c r="G63" s="20">
        <f t="shared" si="3"/>
        <v>120000</v>
      </c>
    </row>
    <row r="64" spans="2:7" ht="15" customHeight="1">
      <c r="B64" s="21" t="s">
        <v>84</v>
      </c>
      <c r="C64" s="21"/>
      <c r="D64" s="21"/>
      <c r="E64" s="21"/>
      <c r="F64" s="21"/>
      <c r="G64" s="22"/>
    </row>
    <row r="65" spans="2:7">
      <c r="B65" s="6">
        <v>1</v>
      </c>
      <c r="C65" s="7" t="s">
        <v>85</v>
      </c>
      <c r="D65" s="6" t="s">
        <v>52</v>
      </c>
      <c r="E65" s="6">
        <v>100</v>
      </c>
      <c r="F65" s="6">
        <v>1000</v>
      </c>
      <c r="G65" s="20">
        <f t="shared" si="3"/>
        <v>100000</v>
      </c>
    </row>
    <row r="66" spans="2:7">
      <c r="B66" s="6">
        <v>2</v>
      </c>
      <c r="C66" s="7" t="s">
        <v>89</v>
      </c>
      <c r="D66" s="6" t="s">
        <v>92</v>
      </c>
      <c r="E66" s="6">
        <v>1</v>
      </c>
      <c r="F66" s="6">
        <v>320000</v>
      </c>
      <c r="G66" s="20">
        <f t="shared" si="3"/>
        <v>320000</v>
      </c>
    </row>
    <row r="67" spans="2:7">
      <c r="B67" s="6">
        <v>3</v>
      </c>
      <c r="C67" s="7" t="s">
        <v>91</v>
      </c>
      <c r="D67" s="6" t="s">
        <v>92</v>
      </c>
      <c r="E67" s="6">
        <v>1.5</v>
      </c>
      <c r="F67" s="6">
        <v>33600</v>
      </c>
      <c r="G67" s="20">
        <f t="shared" si="3"/>
        <v>50400</v>
      </c>
    </row>
    <row r="68" spans="2:7">
      <c r="B68" s="6">
        <v>4</v>
      </c>
      <c r="C68" s="7" t="s">
        <v>93</v>
      </c>
      <c r="D68" s="6" t="s">
        <v>92</v>
      </c>
      <c r="E68" s="6">
        <v>1</v>
      </c>
      <c r="F68" s="6">
        <v>35200</v>
      </c>
      <c r="G68" s="20">
        <f t="shared" si="3"/>
        <v>35200</v>
      </c>
    </row>
    <row r="69" spans="2:7">
      <c r="B69" s="192" t="s">
        <v>38</v>
      </c>
      <c r="C69" s="192"/>
      <c r="D69" s="192"/>
      <c r="E69" s="192"/>
      <c r="F69" s="192"/>
      <c r="G69" s="23">
        <f>SUM(G61:G63,G65:G68)</f>
        <v>757600</v>
      </c>
    </row>
    <row r="70" spans="2:7" ht="15" customHeight="1">
      <c r="B70" s="5" t="s">
        <v>116</v>
      </c>
      <c r="C70" s="5"/>
      <c r="D70" s="5"/>
      <c r="E70" s="5"/>
      <c r="F70" s="5"/>
      <c r="G70" s="24"/>
    </row>
    <row r="71" spans="2:7">
      <c r="B71" s="6">
        <v>1</v>
      </c>
      <c r="C71" s="7" t="s">
        <v>117</v>
      </c>
      <c r="D71" s="6" t="s">
        <v>8</v>
      </c>
      <c r="E71" s="6">
        <v>10</v>
      </c>
      <c r="F71" s="6">
        <v>50000</v>
      </c>
      <c r="G71" s="20">
        <f t="shared" ref="G71:G82" si="4">E71*F71</f>
        <v>500000</v>
      </c>
    </row>
    <row r="72" spans="2:7">
      <c r="B72" s="6">
        <v>2</v>
      </c>
      <c r="C72" s="7" t="s">
        <v>118</v>
      </c>
      <c r="D72" s="6" t="s">
        <v>8</v>
      </c>
      <c r="E72" s="6">
        <v>10</v>
      </c>
      <c r="F72" s="6">
        <v>10000</v>
      </c>
      <c r="G72" s="20">
        <f t="shared" si="4"/>
        <v>100000</v>
      </c>
    </row>
    <row r="73" spans="2:7" ht="30">
      <c r="B73" s="6">
        <v>3</v>
      </c>
      <c r="C73" s="7" t="s">
        <v>119</v>
      </c>
      <c r="D73" s="6" t="s">
        <v>78</v>
      </c>
      <c r="E73" s="6">
        <v>48</v>
      </c>
      <c r="F73" s="6">
        <v>5000</v>
      </c>
      <c r="G73" s="20">
        <f t="shared" si="4"/>
        <v>240000</v>
      </c>
    </row>
    <row r="74" spans="2:7">
      <c r="B74" s="6">
        <v>4</v>
      </c>
      <c r="C74" s="7" t="s">
        <v>120</v>
      </c>
      <c r="D74" s="6" t="s">
        <v>121</v>
      </c>
      <c r="E74" s="6">
        <v>48</v>
      </c>
      <c r="F74" s="6">
        <v>15000</v>
      </c>
      <c r="G74" s="20">
        <f t="shared" si="4"/>
        <v>720000</v>
      </c>
    </row>
    <row r="75" spans="2:7" ht="15" customHeight="1">
      <c r="B75" s="21" t="s">
        <v>84</v>
      </c>
      <c r="C75" s="21"/>
      <c r="D75" s="21"/>
      <c r="E75" s="21"/>
      <c r="F75" s="21"/>
      <c r="G75" s="22"/>
    </row>
    <row r="76" spans="2:7">
      <c r="B76" s="6">
        <v>1</v>
      </c>
      <c r="C76" s="7" t="s">
        <v>122</v>
      </c>
      <c r="D76" s="6" t="s">
        <v>41</v>
      </c>
      <c r="E76" s="6">
        <v>168</v>
      </c>
      <c r="F76" s="6">
        <v>4000</v>
      </c>
      <c r="G76" s="20">
        <f t="shared" si="4"/>
        <v>672000</v>
      </c>
    </row>
    <row r="77" spans="2:7">
      <c r="B77" s="6">
        <v>2</v>
      </c>
      <c r="C77" s="7" t="s">
        <v>104</v>
      </c>
      <c r="D77" s="6" t="s">
        <v>90</v>
      </c>
      <c r="E77" s="6">
        <v>0.5</v>
      </c>
      <c r="F77" s="6">
        <v>1380000</v>
      </c>
      <c r="G77" s="20">
        <f t="shared" si="4"/>
        <v>690000</v>
      </c>
    </row>
    <row r="78" spans="2:7">
      <c r="B78" s="6">
        <v>3</v>
      </c>
      <c r="C78" s="7" t="s">
        <v>51</v>
      </c>
      <c r="D78" s="6" t="s">
        <v>105</v>
      </c>
      <c r="E78" s="6">
        <v>5</v>
      </c>
      <c r="F78" s="6">
        <v>17500</v>
      </c>
      <c r="G78" s="20">
        <f t="shared" si="4"/>
        <v>87500</v>
      </c>
    </row>
    <row r="79" spans="2:7">
      <c r="B79" s="6">
        <v>4</v>
      </c>
      <c r="C79" s="7" t="s">
        <v>123</v>
      </c>
      <c r="D79" s="6" t="s">
        <v>41</v>
      </c>
      <c r="E79" s="6">
        <v>136</v>
      </c>
      <c r="F79" s="6">
        <v>3000</v>
      </c>
      <c r="G79" s="20">
        <f t="shared" si="4"/>
        <v>408000</v>
      </c>
    </row>
    <row r="80" spans="2:7">
      <c r="B80" s="6">
        <v>5</v>
      </c>
      <c r="C80" s="7" t="s">
        <v>124</v>
      </c>
      <c r="D80" s="6" t="s">
        <v>52</v>
      </c>
      <c r="E80" s="6">
        <v>85</v>
      </c>
      <c r="F80" s="6">
        <v>2500</v>
      </c>
      <c r="G80" s="20">
        <f t="shared" si="4"/>
        <v>212500</v>
      </c>
    </row>
    <row r="81" spans="2:7">
      <c r="B81" s="6">
        <v>6</v>
      </c>
      <c r="C81" s="7" t="s">
        <v>125</v>
      </c>
      <c r="D81" s="6" t="s">
        <v>121</v>
      </c>
      <c r="E81" s="6">
        <v>48</v>
      </c>
      <c r="F81" s="6">
        <v>14000</v>
      </c>
      <c r="G81" s="20">
        <f t="shared" si="4"/>
        <v>672000</v>
      </c>
    </row>
    <row r="82" spans="2:7">
      <c r="B82" s="6">
        <v>7</v>
      </c>
      <c r="C82" s="7" t="s">
        <v>126</v>
      </c>
      <c r="D82" s="6" t="s">
        <v>75</v>
      </c>
      <c r="E82" s="6">
        <v>0.48</v>
      </c>
      <c r="F82" s="6">
        <v>850000</v>
      </c>
      <c r="G82" s="20">
        <f t="shared" si="4"/>
        <v>408000</v>
      </c>
    </row>
    <row r="83" spans="2:7">
      <c r="B83" s="192" t="s">
        <v>38</v>
      </c>
      <c r="C83" s="192"/>
      <c r="D83" s="192"/>
      <c r="E83" s="192"/>
      <c r="F83" s="192"/>
      <c r="G83" s="23">
        <f>SUM(G71:G74,G76:G82)</f>
        <v>4710000</v>
      </c>
    </row>
    <row r="84" spans="2:7" ht="15" customHeight="1">
      <c r="B84" s="5" t="s">
        <v>127</v>
      </c>
      <c r="C84" s="15"/>
      <c r="D84" s="15"/>
      <c r="E84" s="15"/>
      <c r="F84" s="15"/>
      <c r="G84" s="25"/>
    </row>
    <row r="85" spans="2:7">
      <c r="B85" s="6">
        <v>1</v>
      </c>
      <c r="C85" s="7" t="s">
        <v>128</v>
      </c>
      <c r="D85" s="6" t="s">
        <v>78</v>
      </c>
      <c r="E85" s="6">
        <v>60</v>
      </c>
      <c r="F85" s="6">
        <v>2000</v>
      </c>
      <c r="G85" s="20">
        <f t="shared" ref="G85:G94" si="5">E85*F85</f>
        <v>120000</v>
      </c>
    </row>
    <row r="86" spans="2:7" ht="30">
      <c r="B86" s="6">
        <v>2</v>
      </c>
      <c r="C86" s="7" t="s">
        <v>129</v>
      </c>
      <c r="D86" s="6" t="s">
        <v>78</v>
      </c>
      <c r="E86" s="6">
        <v>60</v>
      </c>
      <c r="F86" s="6">
        <v>5000</v>
      </c>
      <c r="G86" s="20">
        <f t="shared" si="5"/>
        <v>300000</v>
      </c>
    </row>
    <row r="87" spans="2:7" ht="30">
      <c r="B87" s="6">
        <v>3</v>
      </c>
      <c r="C87" s="7" t="s">
        <v>130</v>
      </c>
      <c r="D87" s="6" t="s">
        <v>78</v>
      </c>
      <c r="E87" s="6">
        <v>5</v>
      </c>
      <c r="F87" s="6">
        <v>7000</v>
      </c>
      <c r="G87" s="20">
        <f t="shared" si="5"/>
        <v>35000</v>
      </c>
    </row>
    <row r="88" spans="2:7" ht="30">
      <c r="B88" s="6">
        <v>4</v>
      </c>
      <c r="C88" s="7" t="s">
        <v>131</v>
      </c>
      <c r="D88" s="6" t="s">
        <v>78</v>
      </c>
      <c r="E88" s="6">
        <v>60</v>
      </c>
      <c r="F88" s="6">
        <v>2000</v>
      </c>
      <c r="G88" s="20">
        <f t="shared" si="5"/>
        <v>120000</v>
      </c>
    </row>
    <row r="89" spans="2:7">
      <c r="B89" s="6">
        <v>5</v>
      </c>
      <c r="C89" s="7" t="s">
        <v>132</v>
      </c>
      <c r="D89" s="6" t="s">
        <v>78</v>
      </c>
      <c r="E89" s="6">
        <v>18</v>
      </c>
      <c r="F89" s="6">
        <v>5000</v>
      </c>
      <c r="G89" s="20">
        <f t="shared" si="5"/>
        <v>90000</v>
      </c>
    </row>
    <row r="90" spans="2:7" ht="15" customHeight="1">
      <c r="B90" s="21" t="s">
        <v>84</v>
      </c>
      <c r="C90" s="21"/>
      <c r="D90" s="21"/>
      <c r="E90" s="21"/>
      <c r="F90" s="21"/>
      <c r="G90" s="22"/>
    </row>
    <row r="91" spans="2:7">
      <c r="B91" s="6">
        <v>1</v>
      </c>
      <c r="C91" s="7" t="s">
        <v>89</v>
      </c>
      <c r="D91" s="6" t="s">
        <v>90</v>
      </c>
      <c r="E91" s="6">
        <v>1</v>
      </c>
      <c r="F91" s="6">
        <v>320000</v>
      </c>
      <c r="G91" s="20">
        <f t="shared" si="5"/>
        <v>320000</v>
      </c>
    </row>
    <row r="92" spans="2:7">
      <c r="B92" s="6">
        <v>2</v>
      </c>
      <c r="C92" s="7" t="s">
        <v>91</v>
      </c>
      <c r="D92" s="6" t="s">
        <v>90</v>
      </c>
      <c r="E92" s="6">
        <v>2</v>
      </c>
      <c r="F92" s="6">
        <v>33640</v>
      </c>
      <c r="G92" s="20">
        <f t="shared" si="5"/>
        <v>67280</v>
      </c>
    </row>
    <row r="93" spans="2:7">
      <c r="B93" s="6">
        <v>3</v>
      </c>
      <c r="C93" s="7" t="s">
        <v>93</v>
      </c>
      <c r="D93" s="6" t="s">
        <v>90</v>
      </c>
      <c r="E93" s="6">
        <v>1</v>
      </c>
      <c r="F93" s="6">
        <v>35200</v>
      </c>
      <c r="G93" s="20">
        <f t="shared" si="5"/>
        <v>35200</v>
      </c>
    </row>
    <row r="94" spans="2:7">
      <c r="B94" s="6">
        <v>4</v>
      </c>
      <c r="C94" s="7" t="s">
        <v>133</v>
      </c>
      <c r="D94" s="6" t="s">
        <v>52</v>
      </c>
      <c r="E94" s="6">
        <v>40</v>
      </c>
      <c r="F94" s="6">
        <v>2000</v>
      </c>
      <c r="G94" s="20">
        <f t="shared" si="5"/>
        <v>80000</v>
      </c>
    </row>
    <row r="95" spans="2:7">
      <c r="B95" s="192" t="s">
        <v>38</v>
      </c>
      <c r="C95" s="192"/>
      <c r="D95" s="192"/>
      <c r="E95" s="192"/>
      <c r="F95" s="192"/>
      <c r="G95" s="23">
        <f>SUM(G85:G89,G91:G94)</f>
        <v>1167480</v>
      </c>
    </row>
    <row r="96" spans="2:7" ht="15" customHeight="1">
      <c r="B96" s="5" t="s">
        <v>134</v>
      </c>
      <c r="C96" s="5"/>
      <c r="D96" s="5"/>
      <c r="E96" s="5"/>
      <c r="F96" s="5"/>
      <c r="G96" s="24"/>
    </row>
    <row r="97" spans="2:7">
      <c r="B97" s="6">
        <v>1</v>
      </c>
      <c r="C97" s="7" t="s">
        <v>135</v>
      </c>
      <c r="D97" s="6" t="s">
        <v>8</v>
      </c>
      <c r="E97" s="6">
        <v>1</v>
      </c>
      <c r="F97" s="6">
        <v>30000</v>
      </c>
      <c r="G97" s="23">
        <f>E97*F97</f>
        <v>30000</v>
      </c>
    </row>
    <row r="98" spans="2:7" ht="15" customHeight="1">
      <c r="B98" s="5" t="s">
        <v>136</v>
      </c>
      <c r="C98" s="5"/>
      <c r="D98" s="5"/>
      <c r="E98" s="5"/>
      <c r="F98" s="5"/>
      <c r="G98" s="24"/>
    </row>
    <row r="99" spans="2:7" ht="30">
      <c r="B99" s="6">
        <v>1</v>
      </c>
      <c r="C99" s="7" t="s">
        <v>137</v>
      </c>
      <c r="D99" s="6" t="s">
        <v>8</v>
      </c>
      <c r="E99" s="6">
        <v>1</v>
      </c>
      <c r="F99" s="6">
        <v>70000</v>
      </c>
      <c r="G99" s="23">
        <f>E99*F99</f>
        <v>70000</v>
      </c>
    </row>
    <row r="100" spans="2:7">
      <c r="B100" s="6"/>
      <c r="C100" s="7"/>
      <c r="D100" s="6"/>
      <c r="E100" s="6"/>
      <c r="F100" s="6"/>
      <c r="G100" s="23"/>
    </row>
    <row r="101" spans="2:7">
      <c r="B101" s="192" t="s">
        <v>138</v>
      </c>
      <c r="C101" s="192"/>
      <c r="D101" s="192"/>
      <c r="E101" s="192"/>
      <c r="F101" s="15"/>
      <c r="G101" s="23">
        <f>SUM(G22,G31,G45,G59,G69,G83,G95,G97,G99)</f>
        <v>21650400</v>
      </c>
    </row>
  </sheetData>
  <mergeCells count="9">
    <mergeCell ref="B83:F83"/>
    <mergeCell ref="B95:F95"/>
    <mergeCell ref="B101:E101"/>
    <mergeCell ref="C1:G1"/>
    <mergeCell ref="B22:F22"/>
    <mergeCell ref="B31:F31"/>
    <mergeCell ref="B45:F45"/>
    <mergeCell ref="B59:F59"/>
    <mergeCell ref="B69:F69"/>
  </mergeCells>
  <pageMargins left="0.75" right="0.75" top="1" bottom="1" header="0.5" footer="0.5"/>
  <pageSetup orientation="portrait" horizontalDpi="4294967292" verticalDpi="4294967292"/>
  <ignoredErrors>
    <ignoredError sqref="G22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zoomScale="125" zoomScaleNormal="125" zoomScalePageLayoutView="125" workbookViewId="0">
      <selection activeCell="A19" sqref="A19"/>
    </sheetView>
  </sheetViews>
  <sheetFormatPr baseColWidth="10" defaultColWidth="10.1640625" defaultRowHeight="16" x14ac:dyDescent="0"/>
  <cols>
    <col min="1" max="1" width="56" style="26" customWidth="1"/>
    <col min="2" max="2" width="15.83203125" style="26" customWidth="1"/>
    <col min="3" max="3" width="17.83203125" style="26" customWidth="1"/>
    <col min="4" max="4" width="23.83203125" style="26" customWidth="1"/>
    <col min="5" max="5" width="11.6640625" style="26" bestFit="1" customWidth="1"/>
    <col min="6" max="16384" width="10.1640625" style="26"/>
  </cols>
  <sheetData>
    <row r="1" spans="1:4">
      <c r="A1" s="27"/>
      <c r="B1" s="27"/>
      <c r="C1" s="27"/>
      <c r="D1" s="27"/>
    </row>
    <row r="2" spans="1:4" ht="45">
      <c r="A2" s="58" t="s">
        <v>150</v>
      </c>
      <c r="B2" s="58" t="s">
        <v>162</v>
      </c>
      <c r="C2" s="58" t="s">
        <v>255</v>
      </c>
      <c r="D2" s="58" t="s">
        <v>196</v>
      </c>
    </row>
    <row r="3" spans="1:4" ht="17.25" customHeight="1">
      <c r="A3" s="59" t="s">
        <v>139</v>
      </c>
      <c r="B3" s="60">
        <f>Монтаж!G64</f>
        <v>28349600</v>
      </c>
      <c r="C3" s="61"/>
      <c r="D3" s="62"/>
    </row>
    <row r="4" spans="1:4" ht="17.25" customHeight="1">
      <c r="A4" s="63" t="s">
        <v>140</v>
      </c>
      <c r="B4" s="60">
        <f>Строительство!G101</f>
        <v>21650400</v>
      </c>
      <c r="C4" s="61"/>
      <c r="D4" s="62"/>
    </row>
    <row r="5" spans="1:4">
      <c r="A5" s="64" t="s">
        <v>274</v>
      </c>
      <c r="B5" s="65">
        <f>SUM(B3:B4)</f>
        <v>50000000</v>
      </c>
      <c r="C5" s="66">
        <v>7</v>
      </c>
      <c r="D5" s="67">
        <f>B5*C5/100</f>
        <v>3500000</v>
      </c>
    </row>
    <row r="7" spans="1:4">
      <c r="A7" s="194" t="s">
        <v>256</v>
      </c>
      <c r="B7" s="194"/>
      <c r="C7" s="194"/>
      <c r="D7" s="194"/>
    </row>
    <row r="13" spans="1:4" ht="42" customHeight="1"/>
    <row r="15" spans="1:4" ht="39.75" customHeight="1"/>
  </sheetData>
  <sheetProtection sheet="1" objects="1" scenarios="1"/>
  <mergeCells count="1">
    <mergeCell ref="A7:D7"/>
  </mergeCells>
  <pageMargins left="0.75" right="0.75" top="1" bottom="1" header="0.5" footer="0.5"/>
  <pageSetup paperSize="9" orientation="portrait" horizontalDpi="200" verticalDpi="20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"/>
  <sheetViews>
    <sheetView zoomScale="125" zoomScaleNormal="125" zoomScalePageLayoutView="125" workbookViewId="0">
      <selection activeCell="F23" sqref="F23"/>
    </sheetView>
  </sheetViews>
  <sheetFormatPr baseColWidth="10" defaultRowHeight="15" x14ac:dyDescent="0"/>
  <cols>
    <col min="1" max="1" width="2.33203125" style="71" customWidth="1"/>
    <col min="2" max="2" width="13.1640625" style="71" customWidth="1"/>
    <col min="3" max="3" width="11.5" style="71" customWidth="1"/>
    <col min="4" max="4" width="17.33203125" style="71" customWidth="1"/>
    <col min="5" max="5" width="17.6640625" style="71" customWidth="1"/>
    <col min="6" max="6" width="17.5" style="71" customWidth="1"/>
    <col min="7" max="7" width="19.6640625" style="71" customWidth="1"/>
    <col min="8" max="8" width="20.6640625" style="71" customWidth="1"/>
    <col min="9" max="9" width="18.5" style="71" customWidth="1"/>
    <col min="10" max="10" width="15.83203125" style="71" customWidth="1"/>
    <col min="11" max="11" width="19" style="71" customWidth="1"/>
    <col min="12" max="12" width="17.5" style="71" customWidth="1"/>
    <col min="13" max="16384" width="10.83203125" style="71"/>
  </cols>
  <sheetData>
    <row r="2" spans="1:12" ht="15" customHeight="1">
      <c r="B2" s="72" t="s">
        <v>147</v>
      </c>
      <c r="C2" s="73"/>
      <c r="D2" s="73"/>
      <c r="E2" s="73"/>
    </row>
    <row r="4" spans="1:12" ht="45">
      <c r="B4" s="88" t="s">
        <v>257</v>
      </c>
      <c r="C4" s="88" t="s">
        <v>272</v>
      </c>
      <c r="D4" s="88" t="s">
        <v>358</v>
      </c>
      <c r="E4" s="88" t="s">
        <v>148</v>
      </c>
      <c r="F4" s="88" t="s">
        <v>149</v>
      </c>
      <c r="G4" s="88" t="s">
        <v>270</v>
      </c>
      <c r="H4" s="88" t="s">
        <v>317</v>
      </c>
      <c r="I4" s="88" t="s">
        <v>318</v>
      </c>
      <c r="J4" s="88" t="s">
        <v>266</v>
      </c>
      <c r="K4" s="88" t="s">
        <v>353</v>
      </c>
      <c r="L4" s="88" t="s">
        <v>354</v>
      </c>
    </row>
    <row r="5" spans="1:12">
      <c r="B5" s="88" t="s">
        <v>269</v>
      </c>
      <c r="C5" s="89">
        <f>'Исходные данные'!$D$5</f>
        <v>70</v>
      </c>
      <c r="D5" s="89">
        <f>'Исходные данные'!$D$6</f>
        <v>15</v>
      </c>
      <c r="E5" s="89">
        <f>D5*C5</f>
        <v>1050</v>
      </c>
      <c r="F5" s="89">
        <f>E5*'Исходные данные'!$D$17</f>
        <v>283500</v>
      </c>
      <c r="G5" s="90">
        <f>'Исходные данные'!$D$7</f>
        <v>0.29499999999999998</v>
      </c>
      <c r="H5" s="91">
        <f>E5*G5*(100-'Исходные данные'!$D$8)/100</f>
        <v>46.462499999999999</v>
      </c>
      <c r="I5" s="91">
        <f>H5*'Исходные данные'!$D$8/100</f>
        <v>39.493124999999999</v>
      </c>
      <c r="J5" s="91">
        <f>I5*'Исходные данные'!D17</f>
        <v>10663.143749999999</v>
      </c>
      <c r="K5" s="91">
        <f>E5-(H5*1.2)</f>
        <v>994.245</v>
      </c>
      <c r="L5" s="91">
        <f>K5*'Исходные данные'!$D$17/1000</f>
        <v>268.44615000000005</v>
      </c>
    </row>
    <row r="6" spans="1:12">
      <c r="B6" s="88" t="s">
        <v>168</v>
      </c>
      <c r="C6" s="89">
        <f>'Исходные данные'!$D$5</f>
        <v>70</v>
      </c>
      <c r="D6" s="89">
        <f>'Исходные данные'!$D$6</f>
        <v>15</v>
      </c>
      <c r="E6" s="89">
        <f t="shared" ref="E6:E7" si="0">D6*C6</f>
        <v>1050</v>
      </c>
      <c r="F6" s="89">
        <f>E6*360</f>
        <v>378000</v>
      </c>
      <c r="G6" s="90">
        <f>'Исходные данные'!$D$7</f>
        <v>0.29499999999999998</v>
      </c>
      <c r="H6" s="91">
        <f>E6*G6*(100-'Исходные данные'!$D$8)/100</f>
        <v>46.462499999999999</v>
      </c>
      <c r="I6" s="91">
        <f>H6*'Исходные данные'!$D$8/100</f>
        <v>39.493124999999999</v>
      </c>
      <c r="J6" s="91">
        <f>I6*360</f>
        <v>14217.525</v>
      </c>
      <c r="K6" s="91">
        <f t="shared" ref="K6:K7" si="1">E6-(H6*1.2)</f>
        <v>994.245</v>
      </c>
      <c r="L6" s="91">
        <f>K6*360/1000</f>
        <v>357.9282</v>
      </c>
    </row>
    <row r="7" spans="1:12">
      <c r="B7" s="88" t="s">
        <v>169</v>
      </c>
      <c r="C7" s="89">
        <f>'Исходные данные'!$D$5</f>
        <v>70</v>
      </c>
      <c r="D7" s="89">
        <f>'Исходные данные'!$D$6</f>
        <v>15</v>
      </c>
      <c r="E7" s="89">
        <f t="shared" si="0"/>
        <v>1050</v>
      </c>
      <c r="F7" s="89">
        <f>E7*360</f>
        <v>378000</v>
      </c>
      <c r="G7" s="90">
        <f>'Исходные данные'!$D$7</f>
        <v>0.29499999999999998</v>
      </c>
      <c r="H7" s="91">
        <f>E7*G7*(100-'Исходные данные'!$D$8)/100</f>
        <v>46.462499999999999</v>
      </c>
      <c r="I7" s="91">
        <f>H7*'Исходные данные'!$D$8/100</f>
        <v>39.493124999999999</v>
      </c>
      <c r="J7" s="91">
        <f>I7*360</f>
        <v>14217.525</v>
      </c>
      <c r="K7" s="91">
        <f t="shared" si="1"/>
        <v>994.245</v>
      </c>
      <c r="L7" s="91">
        <f>K7*360/1000</f>
        <v>357.9282</v>
      </c>
    </row>
    <row r="8" spans="1:12" s="92" customFormat="1">
      <c r="B8" s="93"/>
      <c r="C8" s="94"/>
      <c r="D8" s="93"/>
      <c r="E8" s="93"/>
      <c r="F8" s="93"/>
      <c r="G8" s="95"/>
      <c r="H8" s="96"/>
      <c r="I8" s="96"/>
      <c r="J8" s="96"/>
      <c r="K8" s="96"/>
      <c r="L8" s="96"/>
    </row>
    <row r="9" spans="1:12">
      <c r="B9" s="71" t="s">
        <v>271</v>
      </c>
    </row>
    <row r="10" spans="1:12">
      <c r="B10" s="196" t="s">
        <v>273</v>
      </c>
      <c r="C10" s="196"/>
      <c r="D10" s="196"/>
      <c r="E10" s="196"/>
      <c r="F10" s="196"/>
      <c r="G10" s="196"/>
    </row>
    <row r="11" spans="1:12" ht="15" customHeight="1">
      <c r="A11" s="74"/>
      <c r="B11" s="195" t="s">
        <v>319</v>
      </c>
      <c r="C11" s="195"/>
      <c r="D11" s="195"/>
      <c r="E11" s="195"/>
      <c r="F11" s="195"/>
      <c r="G11" s="195"/>
    </row>
    <row r="12" spans="1:12" ht="15" customHeight="1">
      <c r="A12" s="74"/>
      <c r="B12" s="132" t="s">
        <v>320</v>
      </c>
      <c r="C12" s="132"/>
      <c r="D12" s="132"/>
      <c r="E12" s="132"/>
      <c r="F12" s="132"/>
      <c r="G12" s="132"/>
    </row>
    <row r="13" spans="1:12" ht="15" customHeight="1">
      <c r="A13" s="74"/>
      <c r="B13" s="75" t="s">
        <v>321</v>
      </c>
      <c r="C13" s="75"/>
      <c r="D13" s="75"/>
      <c r="E13" s="75"/>
      <c r="F13" s="75"/>
      <c r="G13" s="75"/>
    </row>
    <row r="14" spans="1:12" ht="37" customHeight="1">
      <c r="B14" s="196" t="s">
        <v>322</v>
      </c>
      <c r="C14" s="196"/>
      <c r="D14" s="196"/>
      <c r="E14" s="196"/>
      <c r="F14" s="196"/>
      <c r="G14" s="196"/>
    </row>
    <row r="16" spans="1:12">
      <c r="B16" s="19"/>
    </row>
  </sheetData>
  <sheetProtection sheet="1" objects="1" scenarios="1"/>
  <mergeCells count="3">
    <mergeCell ref="B11:G11"/>
    <mergeCell ref="B14:G14"/>
    <mergeCell ref="B10:G10"/>
  </mergeCells>
  <pageMargins left="0.75" right="0.75" top="1" bottom="1" header="0.5" footer="0.5"/>
  <pageSetup orientation="portrait" horizontalDpi="4294967292" verticalDpi="4294967292"/>
  <ignoredErrors>
    <ignoredError sqref="K5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4"/>
  <sheetViews>
    <sheetView zoomScale="125" zoomScaleNormal="125" zoomScalePageLayoutView="125" workbookViewId="0">
      <selection activeCell="A6" sqref="A6"/>
    </sheetView>
  </sheetViews>
  <sheetFormatPr baseColWidth="10" defaultRowHeight="16" x14ac:dyDescent="0"/>
  <cols>
    <col min="1" max="1" width="18.1640625" style="30" customWidth="1"/>
    <col min="2" max="2" width="20.6640625" style="30" customWidth="1"/>
    <col min="3" max="3" width="22.33203125" style="30" customWidth="1"/>
    <col min="4" max="4" width="24.1640625" style="30" customWidth="1"/>
    <col min="5" max="6" width="13.5" style="30" bestFit="1" customWidth="1"/>
    <col min="7" max="16384" width="10.83203125" style="30"/>
  </cols>
  <sheetData>
    <row r="3" spans="1:6" ht="48">
      <c r="B3" s="28" t="s">
        <v>163</v>
      </c>
      <c r="C3" s="28" t="s">
        <v>164</v>
      </c>
      <c r="D3" s="29" t="s">
        <v>194</v>
      </c>
    </row>
    <row r="4" spans="1:6">
      <c r="B4" s="40">
        <f>'Исходные данные'!D94</f>
        <v>50000000</v>
      </c>
      <c r="C4" s="124">
        <f>'Исходные данные'!D95</f>
        <v>16</v>
      </c>
      <c r="D4" s="56">
        <f>B4*C4/100</f>
        <v>8000000</v>
      </c>
    </row>
    <row r="5" spans="1:6">
      <c r="B5" s="42"/>
      <c r="C5" s="38"/>
    </row>
    <row r="6" spans="1:6">
      <c r="B6" s="42"/>
      <c r="C6" s="38"/>
    </row>
    <row r="7" spans="1:6">
      <c r="B7" s="50"/>
      <c r="C7" s="37"/>
    </row>
    <row r="8" spans="1:6" ht="32">
      <c r="B8" s="52" t="s">
        <v>170</v>
      </c>
      <c r="C8" s="44" t="s">
        <v>167</v>
      </c>
      <c r="D8" s="44" t="s">
        <v>168</v>
      </c>
      <c r="E8" s="44" t="s">
        <v>169</v>
      </c>
      <c r="F8" s="44" t="s">
        <v>177</v>
      </c>
    </row>
    <row r="9" spans="1:6">
      <c r="B9" s="52" t="s">
        <v>171</v>
      </c>
      <c r="C9" s="54">
        <f>B4/30*6</f>
        <v>10000000</v>
      </c>
      <c r="D9" s="54">
        <f>B4/30*12</f>
        <v>20000000</v>
      </c>
      <c r="E9" s="54">
        <f>B4/30*12</f>
        <v>20000000</v>
      </c>
      <c r="F9" s="55">
        <f>SUM(C9:E9)</f>
        <v>50000000</v>
      </c>
    </row>
    <row r="10" spans="1:6">
      <c r="B10" s="52" t="s">
        <v>165</v>
      </c>
      <c r="C10" s="54">
        <f>D4</f>
        <v>8000000</v>
      </c>
      <c r="D10" s="54">
        <f>(B4-C9)*0.16</f>
        <v>6400000</v>
      </c>
      <c r="E10" s="54">
        <f>(B4-C9-D9)*0.16</f>
        <v>3200000</v>
      </c>
      <c r="F10" s="55">
        <f>SUM(C10:E10)</f>
        <v>17600000</v>
      </c>
    </row>
    <row r="11" spans="1:6">
      <c r="B11" s="53" t="s">
        <v>166</v>
      </c>
      <c r="C11" s="55">
        <f>SUM(C9:C10)</f>
        <v>18000000</v>
      </c>
      <c r="D11" s="55">
        <f>SUM(D9:D10)</f>
        <v>26400000</v>
      </c>
      <c r="E11" s="55">
        <f>SUM(E9:E10)</f>
        <v>23200000</v>
      </c>
      <c r="F11" s="55">
        <f>SUM(C11:E11)</f>
        <v>67600000</v>
      </c>
    </row>
    <row r="12" spans="1:6">
      <c r="B12" s="31"/>
      <c r="C12" s="39"/>
      <c r="D12" s="39"/>
      <c r="E12" s="39"/>
    </row>
    <row r="14" spans="1:6" ht="33" customHeight="1">
      <c r="A14" s="43" t="s">
        <v>153</v>
      </c>
      <c r="B14" s="199" t="s">
        <v>172</v>
      </c>
      <c r="C14" s="199"/>
      <c r="D14" s="199"/>
      <c r="E14" s="199"/>
      <c r="F14" s="199"/>
    </row>
  </sheetData>
  <sheetProtection sheet="1" objects="1" scenarios="1"/>
  <mergeCells count="1">
    <mergeCell ref="B14:F1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zoomScale="125" zoomScaleNormal="125" zoomScalePageLayoutView="125" workbookViewId="0">
      <selection activeCell="E24" sqref="E24"/>
    </sheetView>
  </sheetViews>
  <sheetFormatPr baseColWidth="10" defaultRowHeight="16" x14ac:dyDescent="0"/>
  <cols>
    <col min="1" max="1" width="14.5" style="30" customWidth="1"/>
    <col min="2" max="2" width="54" style="30" customWidth="1"/>
    <col min="3" max="3" width="15.83203125" style="30" bestFit="1" customWidth="1"/>
    <col min="4" max="16384" width="10.83203125" style="30"/>
  </cols>
  <sheetData>
    <row r="2" spans="1:5">
      <c r="B2" s="197" t="s">
        <v>160</v>
      </c>
      <c r="C2" s="197"/>
      <c r="D2" s="197"/>
      <c r="E2" s="197"/>
    </row>
    <row r="3" spans="1:5">
      <c r="B3" s="57"/>
      <c r="C3" s="57"/>
      <c r="D3" s="57"/>
      <c r="E3" s="57"/>
    </row>
    <row r="5" spans="1:5">
      <c r="B5" s="31" t="s">
        <v>264</v>
      </c>
      <c r="C5" s="40">
        <f>'Всего инвестиции на БГУ'!B5*0.05</f>
        <v>2500000</v>
      </c>
    </row>
    <row r="6" spans="1:5">
      <c r="B6" s="32" t="s">
        <v>198</v>
      </c>
    </row>
    <row r="7" spans="1:5">
      <c r="B7" s="32" t="s">
        <v>156</v>
      </c>
    </row>
    <row r="8" spans="1:5">
      <c r="B8" s="32" t="s">
        <v>157</v>
      </c>
    </row>
    <row r="9" spans="1:5">
      <c r="B9" s="32" t="s">
        <v>158</v>
      </c>
    </row>
    <row r="10" spans="1:5">
      <c r="B10" s="33" t="s">
        <v>159</v>
      </c>
    </row>
    <row r="11" spans="1:5">
      <c r="B11" s="33" t="s">
        <v>145</v>
      </c>
    </row>
    <row r="12" spans="1:5">
      <c r="B12" s="31" t="s">
        <v>262</v>
      </c>
      <c r="C12" s="40">
        <f>'Всего инвестиции на БГУ'!D5</f>
        <v>3500000</v>
      </c>
    </row>
    <row r="13" spans="1:5">
      <c r="B13" s="31" t="s">
        <v>263</v>
      </c>
      <c r="C13" s="41">
        <f>C5+C12</f>
        <v>6000000</v>
      </c>
    </row>
    <row r="14" spans="1:5">
      <c r="B14" s="31"/>
      <c r="C14" s="34"/>
    </row>
    <row r="16" spans="1:5" ht="67" customHeight="1">
      <c r="A16" s="35" t="s">
        <v>153</v>
      </c>
      <c r="B16" s="198" t="s">
        <v>265</v>
      </c>
      <c r="C16" s="198"/>
      <c r="D16" s="198"/>
    </row>
  </sheetData>
  <sheetProtection sheet="1" objects="1" scenarios="1"/>
  <mergeCells count="2">
    <mergeCell ref="B2:E2"/>
    <mergeCell ref="B16:D16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zoomScale="125" zoomScaleNormal="125" zoomScalePageLayoutView="125" workbookViewId="0">
      <selection activeCell="B37" sqref="B37"/>
    </sheetView>
  </sheetViews>
  <sheetFormatPr baseColWidth="10" defaultColWidth="14.1640625" defaultRowHeight="16" x14ac:dyDescent="0"/>
  <cols>
    <col min="1" max="1" width="14.5" style="28" customWidth="1"/>
    <col min="2" max="2" width="26.33203125" style="28" customWidth="1"/>
    <col min="3" max="3" width="22.83203125" style="28" customWidth="1"/>
    <col min="4" max="4" width="18.33203125" style="28" customWidth="1"/>
    <col min="5" max="5" width="23.6640625" style="28" customWidth="1"/>
    <col min="6" max="6" width="19.83203125" style="28" customWidth="1"/>
    <col min="7" max="7" width="19.6640625" style="28" customWidth="1"/>
    <col min="8" max="8" width="14.1640625" style="28"/>
    <col min="9" max="9" width="26.1640625" style="28" customWidth="1"/>
    <col min="10" max="16384" width="14.1640625" style="28"/>
  </cols>
  <sheetData>
    <row r="1" spans="1:7">
      <c r="B1" s="203" t="s">
        <v>258</v>
      </c>
      <c r="C1" s="203"/>
      <c r="D1" s="203"/>
      <c r="E1" s="203"/>
      <c r="F1" s="203"/>
    </row>
    <row r="3" spans="1:7" ht="32">
      <c r="B3" s="76" t="s">
        <v>257</v>
      </c>
      <c r="C3" s="76" t="s">
        <v>154</v>
      </c>
      <c r="D3" s="76" t="s">
        <v>193</v>
      </c>
      <c r="E3" s="76" t="s">
        <v>152</v>
      </c>
      <c r="F3" s="76" t="s">
        <v>190</v>
      </c>
      <c r="G3" s="76" t="s">
        <v>191</v>
      </c>
    </row>
    <row r="4" spans="1:7">
      <c r="B4" s="77" t="s">
        <v>167</v>
      </c>
      <c r="C4" s="78">
        <f>'Исходные данные'!$D$19</f>
        <v>540</v>
      </c>
      <c r="D4" s="78">
        <f>'Исходные данные'!$D$43</f>
        <v>350</v>
      </c>
      <c r="E4" s="78">
        <f>D4*C4</f>
        <v>189000</v>
      </c>
      <c r="F4" s="78">
        <f>'Исходные данные'!$D$10</f>
        <v>10</v>
      </c>
      <c r="G4" s="78">
        <f>E4*F4</f>
        <v>1890000</v>
      </c>
    </row>
    <row r="5" spans="1:7" s="29" customFormat="1">
      <c r="B5" s="77" t="s">
        <v>168</v>
      </c>
      <c r="C5" s="78">
        <f>'Исходные данные'!$D$19</f>
        <v>540</v>
      </c>
      <c r="D5" s="78">
        <f>D4+(D4*'Исходные данные'!$D$44/100)</f>
        <v>420</v>
      </c>
      <c r="E5" s="78">
        <f>D5*C5</f>
        <v>226800</v>
      </c>
      <c r="F5" s="78">
        <f>'Исходные данные'!$D$10</f>
        <v>10</v>
      </c>
      <c r="G5" s="78">
        <f>E5*F5</f>
        <v>2268000</v>
      </c>
    </row>
    <row r="6" spans="1:7" s="29" customFormat="1">
      <c r="B6" s="77" t="s">
        <v>169</v>
      </c>
      <c r="C6" s="78">
        <f>'Исходные данные'!$D$19</f>
        <v>540</v>
      </c>
      <c r="D6" s="78">
        <f>D5+(D5*'Исходные данные'!$D$44/100)</f>
        <v>504</v>
      </c>
      <c r="E6" s="78">
        <f>D6*C6</f>
        <v>272160</v>
      </c>
      <c r="F6" s="78">
        <f>'Исходные данные'!$D$10</f>
        <v>10</v>
      </c>
      <c r="G6" s="78">
        <f>E6*F6</f>
        <v>2721600</v>
      </c>
    </row>
    <row r="7" spans="1:7" s="29" customFormat="1">
      <c r="B7" s="79" t="s">
        <v>166</v>
      </c>
      <c r="C7" s="80"/>
      <c r="D7" s="80"/>
      <c r="E7" s="80"/>
      <c r="F7" s="80"/>
      <c r="G7" s="80">
        <f>SUM(G4:G6)</f>
        <v>6879600</v>
      </c>
    </row>
    <row r="8" spans="1:7" s="44" customFormat="1">
      <c r="B8" s="49"/>
    </row>
    <row r="9" spans="1:7" s="44" customFormat="1" ht="32" customHeight="1">
      <c r="A9" s="36" t="s">
        <v>153</v>
      </c>
      <c r="B9" s="198" t="s">
        <v>259</v>
      </c>
      <c r="C9" s="198"/>
      <c r="D9" s="198"/>
      <c r="E9" s="198"/>
      <c r="F9" s="198"/>
      <c r="G9" s="198"/>
    </row>
    <row r="10" spans="1:7" s="44" customFormat="1">
      <c r="B10" s="49"/>
    </row>
    <row r="11" spans="1:7" s="29" customFormat="1" ht="32" customHeight="1">
      <c r="A11" s="36"/>
      <c r="B11" s="203" t="s">
        <v>275</v>
      </c>
      <c r="C11" s="203"/>
      <c r="D11" s="203"/>
      <c r="E11" s="203"/>
      <c r="F11" s="203"/>
    </row>
    <row r="12" spans="1:7" s="29" customFormat="1" ht="48">
      <c r="A12" s="36"/>
      <c r="B12" s="76" t="s">
        <v>257</v>
      </c>
      <c r="C12" s="76" t="s">
        <v>174</v>
      </c>
      <c r="D12" s="76" t="s">
        <v>175</v>
      </c>
      <c r="E12" s="76" t="s">
        <v>381</v>
      </c>
      <c r="F12" s="76" t="s">
        <v>382</v>
      </c>
      <c r="G12" s="76" t="s">
        <v>176</v>
      </c>
    </row>
    <row r="13" spans="1:7">
      <c r="B13" s="76" t="s">
        <v>269</v>
      </c>
      <c r="C13" s="78">
        <f>'Исходные данные'!D45*1000</f>
        <v>45000</v>
      </c>
      <c r="D13" s="81">
        <f>'Ресурсы БГУ'!L5</f>
        <v>268.44615000000005</v>
      </c>
      <c r="E13" s="81">
        <f>('Исходные данные'!$D$10*'Исходные данные'!$D$20+'Исходные данные'!$D$16*'Исходные данные'!$D$21)/1000</f>
        <v>53</v>
      </c>
      <c r="F13" s="129">
        <f>D13-E13</f>
        <v>215.44615000000005</v>
      </c>
      <c r="G13" s="82">
        <f>C13*F13</f>
        <v>9695076.7500000019</v>
      </c>
    </row>
    <row r="14" spans="1:7" s="29" customFormat="1">
      <c r="B14" s="76" t="s">
        <v>168</v>
      </c>
      <c r="C14" s="78">
        <f>C13+(C13*'Исходные данные'!$D$46/100)</f>
        <v>49500</v>
      </c>
      <c r="D14" s="81">
        <f>'Ресурсы БГУ'!L6</f>
        <v>357.9282</v>
      </c>
      <c r="E14" s="81">
        <f>('Исходные данные'!$D$10*'Исходные данные'!$D$20+'Исходные данные'!$D$16*'Исходные данные'!$D$21)/1000</f>
        <v>53</v>
      </c>
      <c r="F14" s="81">
        <f t="shared" ref="F14:F15" si="0">D14-E14</f>
        <v>304.9282</v>
      </c>
      <c r="G14" s="82">
        <f t="shared" ref="G14:G15" si="1">C14*F14</f>
        <v>15093945.9</v>
      </c>
    </row>
    <row r="15" spans="1:7" s="29" customFormat="1">
      <c r="B15" s="76" t="s">
        <v>169</v>
      </c>
      <c r="C15" s="81">
        <f>C14+(C14*'Исходные данные'!$D$46/100)</f>
        <v>54450</v>
      </c>
      <c r="D15" s="81">
        <f>'Ресурсы БГУ'!L7</f>
        <v>357.9282</v>
      </c>
      <c r="E15" s="81">
        <f>('Исходные данные'!$D$10*'Исходные данные'!$D$20+'Исходные данные'!$D$16*'Исходные данные'!$D$21)/1000</f>
        <v>53</v>
      </c>
      <c r="F15" s="81">
        <f t="shared" si="0"/>
        <v>304.9282</v>
      </c>
      <c r="G15" s="82">
        <f t="shared" si="1"/>
        <v>16603340.49</v>
      </c>
    </row>
    <row r="16" spans="1:7" s="29" customFormat="1">
      <c r="B16" s="83" t="s">
        <v>166</v>
      </c>
      <c r="C16" s="80"/>
      <c r="D16" s="84">
        <f>SUM(D13:D15)</f>
        <v>984.30255000000011</v>
      </c>
      <c r="E16" s="84">
        <f>SUM(E13:E15)</f>
        <v>159</v>
      </c>
      <c r="F16" s="84">
        <f>SUM(F13:F15)</f>
        <v>825.30255000000011</v>
      </c>
      <c r="G16" s="84">
        <f>SUM(G13:G15)</f>
        <v>41392363.140000001</v>
      </c>
    </row>
    <row r="17" spans="1:9" s="29" customFormat="1"/>
    <row r="18" spans="1:9" s="29" customFormat="1" ht="68" customHeight="1">
      <c r="A18" s="36" t="s">
        <v>153</v>
      </c>
      <c r="B18" s="200" t="s">
        <v>385</v>
      </c>
      <c r="C18" s="200"/>
      <c r="D18" s="200"/>
      <c r="E18" s="200"/>
      <c r="F18" s="200"/>
    </row>
    <row r="20" spans="1:9">
      <c r="B20" s="202" t="s">
        <v>155</v>
      </c>
      <c r="C20" s="202"/>
      <c r="D20" s="202"/>
      <c r="E20" s="202"/>
      <c r="F20" s="202"/>
      <c r="G20" s="97"/>
      <c r="H20" s="97"/>
      <c r="I20" s="97"/>
    </row>
    <row r="21" spans="1:9">
      <c r="B21" s="97"/>
      <c r="C21" s="97"/>
      <c r="D21" s="97"/>
      <c r="E21" s="97"/>
      <c r="F21" s="97"/>
      <c r="G21" s="97"/>
      <c r="H21" s="97"/>
      <c r="I21" s="97"/>
    </row>
    <row r="22" spans="1:9" ht="48">
      <c r="B22" s="76" t="s">
        <v>202</v>
      </c>
      <c r="C22" s="76" t="s">
        <v>189</v>
      </c>
      <c r="D22" s="76" t="s">
        <v>187</v>
      </c>
      <c r="E22" s="76" t="s">
        <v>188</v>
      </c>
      <c r="F22" s="76" t="s">
        <v>180</v>
      </c>
      <c r="G22" s="76" t="s">
        <v>182</v>
      </c>
      <c r="H22" s="76" t="s">
        <v>178</v>
      </c>
      <c r="I22" s="76" t="s">
        <v>179</v>
      </c>
    </row>
    <row r="23" spans="1:9">
      <c r="B23" s="76" t="s">
        <v>167</v>
      </c>
      <c r="C23" s="78">
        <f>'Исходные данные'!$D$30</f>
        <v>4500</v>
      </c>
      <c r="D23" s="78">
        <f>'Исходные данные'!D39</f>
        <v>500</v>
      </c>
      <c r="E23" s="85">
        <f>'Исходные данные'!$D$32</f>
        <v>10</v>
      </c>
      <c r="F23" s="78">
        <f>C23*E23/100</f>
        <v>450</v>
      </c>
      <c r="G23" s="78">
        <f>D23*F23</f>
        <v>225000</v>
      </c>
      <c r="H23" s="78">
        <f>'Исходные данные'!$D$10</f>
        <v>10</v>
      </c>
      <c r="I23" s="78">
        <f>G23*H23</f>
        <v>2250000</v>
      </c>
    </row>
    <row r="24" spans="1:9" s="29" customFormat="1">
      <c r="B24" s="76" t="s">
        <v>168</v>
      </c>
      <c r="C24" s="78">
        <f>'Исходные данные'!$D$30</f>
        <v>4500</v>
      </c>
      <c r="D24" s="78">
        <f>D23+(D23*'Исходные данные'!$D$40/100)</f>
        <v>600</v>
      </c>
      <c r="E24" s="85">
        <f>'Исходные данные'!$D$32</f>
        <v>10</v>
      </c>
      <c r="F24" s="78">
        <f t="shared" ref="F24:F25" si="2">C24*E24/100</f>
        <v>450</v>
      </c>
      <c r="G24" s="78">
        <f>D24*F24</f>
        <v>270000</v>
      </c>
      <c r="H24" s="78">
        <f>'Исходные данные'!$D$10</f>
        <v>10</v>
      </c>
      <c r="I24" s="78">
        <f>G24*H24</f>
        <v>2700000</v>
      </c>
    </row>
    <row r="25" spans="1:9" s="29" customFormat="1">
      <c r="B25" s="76" t="s">
        <v>169</v>
      </c>
      <c r="C25" s="78">
        <f>'Исходные данные'!$D$30</f>
        <v>4500</v>
      </c>
      <c r="D25" s="78">
        <f>D24+(D24*'Исходные данные'!$D$40/100)</f>
        <v>720</v>
      </c>
      <c r="E25" s="85">
        <f>'Исходные данные'!$D$32</f>
        <v>10</v>
      </c>
      <c r="F25" s="78">
        <f t="shared" si="2"/>
        <v>450</v>
      </c>
      <c r="G25" s="78">
        <f>D25*F25</f>
        <v>324000</v>
      </c>
      <c r="H25" s="78">
        <f>'Исходные данные'!$D$10</f>
        <v>10</v>
      </c>
      <c r="I25" s="78">
        <f>G25*H25</f>
        <v>3240000</v>
      </c>
    </row>
    <row r="26" spans="1:9" s="29" customFormat="1">
      <c r="B26" s="79" t="s">
        <v>181</v>
      </c>
      <c r="C26" s="80"/>
      <c r="D26" s="80"/>
      <c r="E26" s="128"/>
      <c r="F26" s="80"/>
      <c r="G26" s="80">
        <f>SUM(G23:G25)</f>
        <v>819000</v>
      </c>
      <c r="H26" s="80"/>
      <c r="I26" s="80">
        <f>SUM(I23:I25)</f>
        <v>8190000</v>
      </c>
    </row>
    <row r="27" spans="1:9" s="29" customFormat="1">
      <c r="B27" s="45"/>
      <c r="C27" s="46"/>
      <c r="D27" s="46"/>
      <c r="E27" s="47"/>
      <c r="F27" s="48"/>
      <c r="G27" s="48"/>
      <c r="H27" s="46"/>
      <c r="I27" s="46"/>
    </row>
    <row r="28" spans="1:9" s="29" customFormat="1" ht="33" customHeight="1">
      <c r="A28" s="36" t="s">
        <v>153</v>
      </c>
      <c r="B28" s="200" t="s">
        <v>309</v>
      </c>
      <c r="C28" s="200"/>
      <c r="D28" s="200"/>
      <c r="E28" s="200"/>
      <c r="F28" s="200"/>
      <c r="G28" s="200"/>
      <c r="H28" s="200"/>
      <c r="I28" s="200"/>
    </row>
    <row r="29" spans="1:9" s="29" customFormat="1">
      <c r="B29" s="45"/>
      <c r="C29" s="46"/>
      <c r="D29" s="46"/>
      <c r="E29" s="47"/>
      <c r="F29" s="48"/>
      <c r="G29" s="48"/>
      <c r="H29" s="46"/>
      <c r="I29" s="46"/>
    </row>
    <row r="30" spans="1:9" ht="48">
      <c r="B30" s="77" t="s">
        <v>392</v>
      </c>
      <c r="C30" s="76" t="s">
        <v>183</v>
      </c>
      <c r="D30" s="76" t="s">
        <v>187</v>
      </c>
      <c r="E30" s="76" t="s">
        <v>188</v>
      </c>
      <c r="F30" s="76" t="s">
        <v>184</v>
      </c>
      <c r="G30" s="76" t="s">
        <v>186</v>
      </c>
      <c r="H30" s="76" t="s">
        <v>185</v>
      </c>
      <c r="I30" s="76" t="s">
        <v>179</v>
      </c>
    </row>
    <row r="31" spans="1:9" s="29" customFormat="1">
      <c r="B31" s="76" t="s">
        <v>167</v>
      </c>
      <c r="C31" s="78">
        <f>'Исходные данные'!$D$31</f>
        <v>10</v>
      </c>
      <c r="D31" s="78">
        <f>'Исходные данные'!$D$41</f>
        <v>2000</v>
      </c>
      <c r="E31" s="78">
        <f>'Исходные данные'!$D$33</f>
        <v>10</v>
      </c>
      <c r="F31" s="130">
        <f>C31*E31/100</f>
        <v>1</v>
      </c>
      <c r="G31" s="78">
        <f>F31*D31</f>
        <v>2000</v>
      </c>
      <c r="H31" s="78">
        <f>'Исходные данные'!$D$16</f>
        <v>600</v>
      </c>
      <c r="I31" s="78">
        <f>G31*H31</f>
        <v>1200000</v>
      </c>
    </row>
    <row r="32" spans="1:9" s="29" customFormat="1">
      <c r="B32" s="76" t="s">
        <v>168</v>
      </c>
      <c r="C32" s="78">
        <f>'Исходные данные'!$D$31</f>
        <v>10</v>
      </c>
      <c r="D32" s="78">
        <f>D31+(D31*'Исходные данные'!$D$42/100)</f>
        <v>2400</v>
      </c>
      <c r="E32" s="78">
        <f>'Исходные данные'!$D$33</f>
        <v>10</v>
      </c>
      <c r="F32" s="130">
        <f t="shared" ref="F32:F33" si="3">C32*E32/100</f>
        <v>1</v>
      </c>
      <c r="G32" s="78">
        <f>F32*D32</f>
        <v>2400</v>
      </c>
      <c r="H32" s="78">
        <f>'Исходные данные'!$D$16</f>
        <v>600</v>
      </c>
      <c r="I32" s="78">
        <f>G32*H32</f>
        <v>1440000</v>
      </c>
    </row>
    <row r="33" spans="1:9" s="29" customFormat="1">
      <c r="B33" s="76" t="s">
        <v>169</v>
      </c>
      <c r="C33" s="78">
        <f>'Исходные данные'!$D$31</f>
        <v>10</v>
      </c>
      <c r="D33" s="78">
        <f>D32+(D32*'Исходные данные'!$D$42/100)</f>
        <v>2880</v>
      </c>
      <c r="E33" s="78">
        <f>'Исходные данные'!$D$33</f>
        <v>10</v>
      </c>
      <c r="F33" s="130">
        <f t="shared" si="3"/>
        <v>1</v>
      </c>
      <c r="G33" s="78">
        <f>F33*D33</f>
        <v>2880</v>
      </c>
      <c r="H33" s="78">
        <f>'Исходные данные'!$D$16</f>
        <v>600</v>
      </c>
      <c r="I33" s="78">
        <f>G33*H33</f>
        <v>1728000</v>
      </c>
    </row>
    <row r="34" spans="1:9">
      <c r="B34" s="79" t="s">
        <v>181</v>
      </c>
      <c r="C34" s="76"/>
      <c r="D34" s="76"/>
      <c r="E34" s="76"/>
      <c r="F34" s="76"/>
      <c r="G34" s="83">
        <f>SUM(G31:G33)</f>
        <v>7280</v>
      </c>
      <c r="H34" s="83">
        <f>SUM(H31:H33)</f>
        <v>1800</v>
      </c>
      <c r="I34" s="83">
        <f>SUM(I31:I33)</f>
        <v>4368000</v>
      </c>
    </row>
    <row r="35" spans="1:9" s="29" customFormat="1">
      <c r="B35" s="45"/>
    </row>
    <row r="36" spans="1:9" ht="40" customHeight="1">
      <c r="A36" s="36" t="s">
        <v>153</v>
      </c>
      <c r="B36" s="200" t="s">
        <v>305</v>
      </c>
      <c r="C36" s="198"/>
      <c r="D36" s="198"/>
      <c r="E36" s="198"/>
      <c r="F36" s="198"/>
      <c r="G36" s="198"/>
      <c r="H36" s="198"/>
      <c r="I36" s="198"/>
    </row>
    <row r="38" spans="1:9" ht="32" customHeight="1">
      <c r="B38" s="201" t="s">
        <v>276</v>
      </c>
      <c r="C38" s="201"/>
      <c r="D38" s="201"/>
      <c r="E38" s="201"/>
      <c r="F38" s="201"/>
    </row>
    <row r="40" spans="1:9" ht="48">
      <c r="B40" s="76" t="s">
        <v>257</v>
      </c>
      <c r="C40" s="76" t="s">
        <v>268</v>
      </c>
      <c r="D40" s="76" t="s">
        <v>424</v>
      </c>
      <c r="E40" s="76" t="s">
        <v>416</v>
      </c>
      <c r="F40" s="76" t="s">
        <v>203</v>
      </c>
      <c r="G40" s="76" t="s">
        <v>267</v>
      </c>
      <c r="H40" s="86"/>
    </row>
    <row r="41" spans="1:9">
      <c r="B41" s="76" t="s">
        <v>167</v>
      </c>
      <c r="C41" s="81">
        <f>'Ресурсы БГУ'!I5</f>
        <v>39.493124999999999</v>
      </c>
      <c r="D41" s="81">
        <f>C41*'Исходные данные'!$D$9</f>
        <v>27.645187499999999</v>
      </c>
      <c r="E41" s="78">
        <f>'Исходные данные'!D47</f>
        <v>108</v>
      </c>
      <c r="F41" s="81">
        <f>D41*E41</f>
        <v>2985.6802499999999</v>
      </c>
      <c r="G41" s="81">
        <f>F41*270</f>
        <v>806133.66749999998</v>
      </c>
    </row>
    <row r="42" spans="1:9">
      <c r="B42" s="76" t="s">
        <v>168</v>
      </c>
      <c r="C42" s="81">
        <f>'Ресурсы БГУ'!I6</f>
        <v>39.493124999999999</v>
      </c>
      <c r="D42" s="81">
        <f>C42*'Исходные данные'!$D$9</f>
        <v>27.645187499999999</v>
      </c>
      <c r="E42" s="81">
        <f>E41+(E41*'Исходные данные'!$D$48/100)</f>
        <v>129.6</v>
      </c>
      <c r="F42" s="81">
        <f t="shared" ref="F42:F43" si="4">D42*E42</f>
        <v>3582.8162999999995</v>
      </c>
      <c r="G42" s="81">
        <f t="shared" ref="G42:G43" si="5">F42*360</f>
        <v>1289813.8679999998</v>
      </c>
    </row>
    <row r="43" spans="1:9">
      <c r="B43" s="76" t="s">
        <v>169</v>
      </c>
      <c r="C43" s="81">
        <f>'Ресурсы БГУ'!I7</f>
        <v>39.493124999999999</v>
      </c>
      <c r="D43" s="81">
        <f>C43*'Исходные данные'!$D$9</f>
        <v>27.645187499999999</v>
      </c>
      <c r="E43" s="81">
        <f>E42+(E42*'Исходные данные'!$D$48/100)</f>
        <v>155.51999999999998</v>
      </c>
      <c r="F43" s="81">
        <f t="shared" si="4"/>
        <v>4299.3795599999994</v>
      </c>
      <c r="G43" s="81">
        <f t="shared" si="5"/>
        <v>1547776.6415999997</v>
      </c>
    </row>
    <row r="44" spans="1:9">
      <c r="B44" s="76" t="s">
        <v>181</v>
      </c>
      <c r="C44" s="76"/>
      <c r="D44" s="76"/>
      <c r="E44" s="76"/>
      <c r="F44" s="76"/>
      <c r="G44" s="87">
        <f>SUM(G41:G43)</f>
        <v>3643724.1770999995</v>
      </c>
    </row>
    <row r="46" spans="1:9" ht="36" customHeight="1">
      <c r="A46" s="36" t="s">
        <v>153</v>
      </c>
      <c r="B46" s="200" t="s">
        <v>277</v>
      </c>
      <c r="C46" s="200"/>
      <c r="D46" s="200"/>
      <c r="E46" s="200"/>
    </row>
  </sheetData>
  <sheetProtection sheet="1" objects="1" scenarios="1"/>
  <mergeCells count="9">
    <mergeCell ref="B46:E46"/>
    <mergeCell ref="B38:F38"/>
    <mergeCell ref="B20:F20"/>
    <mergeCell ref="B1:F1"/>
    <mergeCell ref="B11:F11"/>
    <mergeCell ref="B18:F18"/>
    <mergeCell ref="B36:I36"/>
    <mergeCell ref="B28:I28"/>
    <mergeCell ref="B9:G9"/>
  </mergeCells>
  <pageMargins left="0.75" right="0.75" top="1" bottom="1" header="0.5" footer="0.5"/>
  <pageSetup orientation="portrait" horizontalDpi="4294967292" verticalDpi="4294967292"/>
  <ignoredErrors>
    <ignoredError sqref="G26:I26 E4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Описание</vt:lpstr>
      <vt:lpstr>Исходные данные</vt:lpstr>
      <vt:lpstr>Монтаж</vt:lpstr>
      <vt:lpstr>Строительство</vt:lpstr>
      <vt:lpstr>Всего инвестиции на БГУ</vt:lpstr>
      <vt:lpstr>Ресурсы БГУ</vt:lpstr>
      <vt:lpstr>Кредит</vt:lpstr>
      <vt:lpstr>Текущие затраты на БГУ</vt:lpstr>
      <vt:lpstr>Выгоды</vt:lpstr>
      <vt:lpstr>экон. эффект от БГУ</vt:lpstr>
      <vt:lpstr>доходы и расходы</vt:lpstr>
      <vt:lpstr>Итог денпоток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Davran Niyazmetov</dc:creator>
  <cp:lastModifiedBy>Davron Niyazmetov</cp:lastModifiedBy>
  <cp:lastPrinted>2012-04-05T05:45:33Z</cp:lastPrinted>
  <dcterms:created xsi:type="dcterms:W3CDTF">2012-02-09T05:48:48Z</dcterms:created>
  <dcterms:modified xsi:type="dcterms:W3CDTF">2012-04-10T11:27:12Z</dcterms:modified>
</cp:coreProperties>
</file>