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92" windowHeight="7428" firstSheet="3" activeTab="5"/>
  </bookViews>
  <sheets>
    <sheet name="Chart1" sheetId="1" r:id="rId1"/>
    <sheet name="Расходы нараст." sheetId="2" r:id="rId2"/>
    <sheet name="Расходы фисташки по годам" sheetId="3" r:id="rId3"/>
    <sheet name="культуры междурядье" sheetId="4" r:id="rId4"/>
    <sheet name="Расчет затрат междур" sheetId="5" r:id="rId5"/>
    <sheet name="main calculations" sheetId="6" r:id="rId6"/>
    <sheet name="Рент-ть от перераб" sheetId="7" r:id="rId7"/>
  </sheets>
  <externalReferences>
    <externalReference r:id="rId10"/>
  </externalReferences>
  <definedNames>
    <definedName name="OLE_LINK2" localSheetId="1">'Расходы нараст.'!#REF!</definedName>
  </definedNames>
  <calcPr fullCalcOnLoad="1"/>
</workbook>
</file>

<file path=xl/sharedStrings.xml><?xml version="1.0" encoding="utf-8"?>
<sst xmlns="http://schemas.openxmlformats.org/spreadsheetml/2006/main" count="404" uniqueCount="192">
  <si>
    <t>Расстояние междурядые фисташки</t>
  </si>
  <si>
    <t>Количество фисташковых деревья на 1 га</t>
  </si>
  <si>
    <t xml:space="preserve"> </t>
  </si>
  <si>
    <t>Годы</t>
  </si>
  <si>
    <t>Сафлора</t>
  </si>
  <si>
    <t>Горох</t>
  </si>
  <si>
    <t>Бахчи</t>
  </si>
  <si>
    <t>Люцерна</t>
  </si>
  <si>
    <t>Цистерна</t>
  </si>
  <si>
    <t>Ветрогенератор</t>
  </si>
  <si>
    <t>Сольнечные панели</t>
  </si>
  <si>
    <t>Сеянцы шиповника</t>
  </si>
  <si>
    <t>Аккумуляторные батареи</t>
  </si>
  <si>
    <t>Всего расходов</t>
  </si>
  <si>
    <t>Шиповник</t>
  </si>
  <si>
    <t>Наименования мероприятий и затраты</t>
  </si>
  <si>
    <t>Среднее затраты на 1 гектар</t>
  </si>
  <si>
    <t>Всего затраты</t>
  </si>
  <si>
    <t>Затраты по различным культурам высаживаемые в междурядые фисташки до достижения фисташки хозяйственного плодоносешения</t>
  </si>
  <si>
    <t>Семена</t>
  </si>
  <si>
    <t>кг/га</t>
  </si>
  <si>
    <t>сум</t>
  </si>
  <si>
    <t>Наименование культуры</t>
  </si>
  <si>
    <t>сум/га</t>
  </si>
  <si>
    <t xml:space="preserve">Посевные работы </t>
  </si>
  <si>
    <t>РАСХОДЫ</t>
  </si>
  <si>
    <t>Культуры, междурядые</t>
  </si>
  <si>
    <t>РАСХОДЫ ВМЕСТЕ</t>
  </si>
  <si>
    <t>Расход
(междурядые сафлора)</t>
  </si>
  <si>
    <t>Расход
(междурядые горох)</t>
  </si>
  <si>
    <t>Расход
(междурядые бахчи)</t>
  </si>
  <si>
    <t>Расход
(междурядые люцерна)</t>
  </si>
  <si>
    <t>Общая площадь, га</t>
  </si>
  <si>
    <t>Цена сафлоры</t>
  </si>
  <si>
    <t>Цена, горох</t>
  </si>
  <si>
    <t>Цена, люцерна</t>
  </si>
  <si>
    <t>Цена, шиповник</t>
  </si>
  <si>
    <t>Свободная площадь в междурядые фисташки</t>
  </si>
  <si>
    <t>Сафлора, кг/га</t>
  </si>
  <si>
    <t>Фисташка, с одного дерево, кг</t>
  </si>
  <si>
    <t>Горох, кг/га</t>
  </si>
  <si>
    <t>Бахчи, кг/га</t>
  </si>
  <si>
    <t>Люцерна, кг/га</t>
  </si>
  <si>
    <t>Шиповник, с одного дерево, кг</t>
  </si>
  <si>
    <t>Шиповник, количество деревья</t>
  </si>
  <si>
    <t>Шиповник-ограждение, кг/га</t>
  </si>
  <si>
    <t>год 1</t>
  </si>
  <si>
    <t>год 2</t>
  </si>
  <si>
    <t>Расчет урожайности фисташки и альтернативных насаждений</t>
  </si>
  <si>
    <t>год 3</t>
  </si>
  <si>
    <t xml:space="preserve"> год 4</t>
  </si>
  <si>
    <t>год 5</t>
  </si>
  <si>
    <t>год 6</t>
  </si>
  <si>
    <t>год 7</t>
  </si>
  <si>
    <t>год 8</t>
  </si>
  <si>
    <t>год 9</t>
  </si>
  <si>
    <t>год 10</t>
  </si>
  <si>
    <t>год 11</t>
  </si>
  <si>
    <t>год 12</t>
  </si>
  <si>
    <t>год 13</t>
  </si>
  <si>
    <t>год 14</t>
  </si>
  <si>
    <t>год 15</t>
  </si>
  <si>
    <t>год 16</t>
  </si>
  <si>
    <t>год 17</t>
  </si>
  <si>
    <t>год 18</t>
  </si>
  <si>
    <t>Мероприятия и затраты</t>
  </si>
  <si>
    <t>Проект фисташка: Анализ выгод и затрат</t>
  </si>
  <si>
    <t>Закупка колючей проволоки</t>
  </si>
  <si>
    <t xml:space="preserve">5 раз </t>
  </si>
  <si>
    <t>Наем рабочих для посадки фисташки</t>
  </si>
  <si>
    <t>Наме рабочих для полива</t>
  </si>
  <si>
    <t>Техника для полива (наем или аренда)</t>
  </si>
  <si>
    <t>Чизелование (или борона)</t>
  </si>
  <si>
    <t>Система капельного орашение</t>
  </si>
  <si>
    <t>Организационные затраты</t>
  </si>
  <si>
    <t>Поставка столбов и колючей проволоки</t>
  </si>
  <si>
    <t xml:space="preserve">Наем рабочих для выкопа посадки шиповника </t>
  </si>
  <si>
    <t>Сбор урожая</t>
  </si>
  <si>
    <t>Закупка столбов,ограждение</t>
  </si>
  <si>
    <t>Поставка столбов и колючей 
проволоки</t>
  </si>
  <si>
    <t>Техника для полива, 
(наем или аренда)</t>
  </si>
  <si>
    <t>Технологических оборудований</t>
  </si>
  <si>
    <t>Наем рабочих для полива</t>
  </si>
  <si>
    <t>Фисташка, включая шиповник</t>
  </si>
  <si>
    <t>Постоянные рабочие</t>
  </si>
  <si>
    <t>Общие данные</t>
  </si>
  <si>
    <t>Данные по урожайности фисташки и по культурам междурядий фисташки</t>
  </si>
  <si>
    <t>Сбор  урожая</t>
  </si>
  <si>
    <t>сум/кг</t>
  </si>
  <si>
    <t>Примечание</t>
  </si>
  <si>
    <t>290 кг</t>
  </si>
  <si>
    <t>165 кг</t>
  </si>
  <si>
    <t>через 2 м</t>
  </si>
  <si>
    <t xml:space="preserve">4 ряда </t>
  </si>
  <si>
    <t>6х8</t>
  </si>
  <si>
    <t>через 1 м</t>
  </si>
  <si>
    <t>каждому сеянцу</t>
  </si>
  <si>
    <t>Фисташка</t>
  </si>
  <si>
    <t xml:space="preserve">Расчет доходов от реализации продукции </t>
  </si>
  <si>
    <t>Расходы всего (14%)</t>
  </si>
  <si>
    <t>Расходы всего  (20%)</t>
  </si>
  <si>
    <t>Доходы: Уровень инфляции</t>
  </si>
  <si>
    <t>Среднегодовой уровень инфляции</t>
  </si>
  <si>
    <t>Неофициальная уровень инфляции</t>
  </si>
  <si>
    <t xml:space="preserve">Цены. Уровень годовой инфляции  </t>
  </si>
  <si>
    <t>Доходы всего (14%)</t>
  </si>
  <si>
    <t>Доходы всего  (20%)</t>
  </si>
  <si>
    <t xml:space="preserve">Уровень инфляции </t>
  </si>
  <si>
    <t>Ставка рефинансирование</t>
  </si>
  <si>
    <t>Цены, 9%</t>
  </si>
  <si>
    <t>Цены, 14%</t>
  </si>
  <si>
    <t>Цены, 20%</t>
  </si>
  <si>
    <t xml:space="preserve">Расходы всего (9%)  </t>
  </si>
  <si>
    <t xml:space="preserve">Доходы всего (9%)  </t>
  </si>
  <si>
    <t>Итоги затраты шиповника</t>
  </si>
  <si>
    <t>Затраты на фисташки и шиповника</t>
  </si>
  <si>
    <t>Расходы: Уровень инфляции</t>
  </si>
  <si>
    <t>Сбор урожая, фисташка</t>
  </si>
  <si>
    <t>Сбор урожая, шиповник</t>
  </si>
  <si>
    <t xml:space="preserve">Итого затраты по фисташки </t>
  </si>
  <si>
    <t xml:space="preserve">Расходы всего </t>
  </si>
  <si>
    <t>Расходы по фисташки и по культурам междурядий фисташки. Цены в тыс. сум</t>
  </si>
  <si>
    <t xml:space="preserve">Фисташка, кг/га </t>
  </si>
  <si>
    <t>Сафлора-междурядые, кг/гплощадь</t>
  </si>
  <si>
    <t>Горох - междурядые, кг/площадь</t>
  </si>
  <si>
    <t>Бахчи - междурядые, кг/площадь</t>
  </si>
  <si>
    <t>Люцерна - междурядые, кг/площадь</t>
  </si>
  <si>
    <t>Колышки</t>
  </si>
  <si>
    <t>Закупка столбов для ограждения</t>
  </si>
  <si>
    <t>Плуг, чизель</t>
  </si>
  <si>
    <t>Мин. удобрения</t>
  </si>
  <si>
    <t>Очистка поля от раст.остатков</t>
  </si>
  <si>
    <t>Уход, очистка от сорняков</t>
  </si>
  <si>
    <t>Бахча</t>
  </si>
  <si>
    <t xml:space="preserve">Исполь-зуемая площадь </t>
  </si>
  <si>
    <t>Цены. Ставка рефинансирования ЦБ РУз</t>
  </si>
  <si>
    <t>Цены. Неофициальный уровень инфляции</t>
  </si>
  <si>
    <t>По культурам</t>
  </si>
  <si>
    <t>Комбинации</t>
  </si>
  <si>
    <t>Фист + шип</t>
  </si>
  <si>
    <t>Фист + шип + Сафлора</t>
  </si>
  <si>
    <t>Фист + шип + Горох</t>
  </si>
  <si>
    <t>Фист + шип + Бахча</t>
  </si>
  <si>
    <t>Фист + шип + Люцерна</t>
  </si>
  <si>
    <t>Среднегод. уровень инфляции 9%</t>
  </si>
  <si>
    <t>Сценарии</t>
  </si>
  <si>
    <t>Неофициальная инфляции 20 %</t>
  </si>
  <si>
    <t xml:space="preserve">Прибыль (9%)  </t>
  </si>
  <si>
    <t>Прибыль (14%)</t>
  </si>
  <si>
    <t>Прибыль (20%)</t>
  </si>
  <si>
    <t>Рентабельность</t>
  </si>
  <si>
    <t>Цены, переработанная фисташка</t>
  </si>
  <si>
    <t>Всего</t>
  </si>
  <si>
    <t>Годовой уровень инфляции -9%</t>
  </si>
  <si>
    <t>Ставка рефинансирование - 14 %</t>
  </si>
  <si>
    <t>Неофициальная инфляция - 20%</t>
  </si>
  <si>
    <t>Годовой уровень инфляции 9%</t>
  </si>
  <si>
    <t>Перечень расходов по оганизации фисташковой плантации в горных и предгорных районах Узбекистана</t>
  </si>
  <si>
    <t>Объем площади фисташковой плантации, га</t>
  </si>
  <si>
    <t>Покупка технологического оборудования</t>
  </si>
  <si>
    <t>Солнечные панели</t>
  </si>
  <si>
    <t>Система капельного орашения</t>
  </si>
  <si>
    <t>Рыхление, осеннее</t>
  </si>
  <si>
    <t>Весеннее рыхление</t>
  </si>
  <si>
    <t>Закупка семян</t>
  </si>
  <si>
    <t>Закупка сеянцев</t>
  </si>
  <si>
    <t>Минеральные удобрения, селитра</t>
  </si>
  <si>
    <t>Минеральные удобрения, суперфосфат</t>
  </si>
  <si>
    <t>Прививка фисташки</t>
  </si>
  <si>
    <t>Всего затрат</t>
  </si>
  <si>
    <t>Подготовка поля для посадки, рыхление</t>
  </si>
  <si>
    <t>Ставка рефинансирования 14%</t>
  </si>
  <si>
    <t>Неофициальная инфляция 20 %</t>
  </si>
  <si>
    <t>Ставка рефинансирования14%</t>
  </si>
  <si>
    <t xml:space="preserve">Количество плодоносящих фисташковых деревьев, маточные </t>
  </si>
  <si>
    <t>Цена на необработанную фисташку, оптом</t>
  </si>
  <si>
    <t>Цена на обработанную фисташку, оптом</t>
  </si>
  <si>
    <t>Розничная цена на фисташку</t>
  </si>
  <si>
    <t>Цена, бахча</t>
  </si>
  <si>
    <t>Ставка рефинансирования  Центрального банка РУз</t>
  </si>
  <si>
    <t>Неофициальный уровень инфляции</t>
  </si>
  <si>
    <t>Вспашка, осенняя</t>
  </si>
  <si>
    <t xml:space="preserve">Вспашка, весенняя </t>
  </si>
  <si>
    <t>Наем рабочих, посадка фисташки</t>
  </si>
  <si>
    <t xml:space="preserve">Наем рабочих,выкоп и посадка
шиповника </t>
  </si>
  <si>
    <t>Минеральные удобрения, 
суперфосфат</t>
  </si>
  <si>
    <t>По культурам высаженным в междурядье, среднее</t>
  </si>
  <si>
    <t>Расходы: Ставка рефинансирования</t>
  </si>
  <si>
    <t>Расходы: Неофициальный уровень инфляции</t>
  </si>
  <si>
    <t>Доходы: Ставка рефинансирования ЦБ РУз</t>
  </si>
  <si>
    <t>Доходы: Неофициальный уровень инфляции</t>
  </si>
  <si>
    <t>Расчет прибыли по разным процентным ставкам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</si>
</sst>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#,##0.0&quot;р.&quot;"/>
    <numFmt numFmtId="176" formatCode="#,##0.0\ [$UZS]"/>
    <numFmt numFmtId="177" formatCode="0.0%"/>
    <numFmt numFmtId="178" formatCode="#,##0.0"/>
    <numFmt numFmtId="179" formatCode="#,##0.00&quot;р.&quot;"/>
    <numFmt numFmtId="180" formatCode="#,##0.0_ ;[Red]\-#,##0.0\ "/>
    <numFmt numFmtId="181" formatCode="#,##0.0;[Red]#,##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_ ;[Red]\-#,##0.00\ "/>
    <numFmt numFmtId="192" formatCode="#,##0.0\ [$UZS];\-#,##0.0\ [$UZS]"/>
    <numFmt numFmtId="193" formatCode="0.000%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4"/>
      <color indexed="5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22" borderId="10" xfId="0" applyFont="1" applyFill="1" applyBorder="1" applyAlignment="1">
      <alignment/>
    </xf>
    <xf numFmtId="178" fontId="1" fillId="22" borderId="10" xfId="0" applyNumberFormat="1" applyFont="1" applyFill="1" applyBorder="1" applyAlignment="1">
      <alignment/>
    </xf>
    <xf numFmtId="178" fontId="1" fillId="10" borderId="10" xfId="0" applyNumberFormat="1" applyFont="1" applyFill="1" applyBorder="1" applyAlignment="1">
      <alignment/>
    </xf>
    <xf numFmtId="0" fontId="0" fillId="3" borderId="10" xfId="0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readingOrder="1"/>
    </xf>
    <xf numFmtId="0" fontId="1" fillId="1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178" fontId="1" fillId="2" borderId="10" xfId="0" applyNumberFormat="1" applyFon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1" fontId="0" fillId="3" borderId="10" xfId="0" applyNumberFormat="1" applyFill="1" applyBorder="1" applyAlignment="1">
      <alignment horizontal="center" wrapText="1"/>
    </xf>
    <xf numFmtId="178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2" borderId="10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left" vertical="center"/>
    </xf>
    <xf numFmtId="178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78" fontId="0" fillId="0" borderId="11" xfId="0" applyNumberFormat="1" applyBorder="1" applyAlignment="1">
      <alignment horizontal="center" vertical="center"/>
    </xf>
    <xf numFmtId="9" fontId="3" fillId="0" borderId="0" xfId="0" applyNumberFormat="1" applyFont="1" applyFill="1" applyAlignment="1">
      <alignment/>
    </xf>
    <xf numFmtId="9" fontId="3" fillId="0" borderId="0" xfId="59" applyFont="1" applyFill="1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 horizontal="center" vertical="center"/>
    </xf>
    <xf numFmtId="178" fontId="3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9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7" fontId="3" fillId="0" borderId="10" xfId="59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7" fillId="20" borderId="12" xfId="0" applyNumberFormat="1" applyFont="1" applyFill="1" applyBorder="1" applyAlignment="1">
      <alignment horizontal="center" vertical="center"/>
    </xf>
    <xf numFmtId="1" fontId="7" fillId="20" borderId="0" xfId="0" applyNumberFormat="1" applyFont="1" applyFill="1" applyBorder="1" applyAlignment="1">
      <alignment horizontal="center" vertical="center"/>
    </xf>
    <xf numFmtId="1" fontId="7" fillId="2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1" xfId="0" applyBorder="1" applyAlignment="1">
      <alignment vertical="center"/>
    </xf>
    <xf numFmtId="173" fontId="0" fillId="0" borderId="0" xfId="0" applyNumberFormat="1" applyAlignment="1">
      <alignment/>
    </xf>
    <xf numFmtId="178" fontId="0" fillId="20" borderId="12" xfId="0" applyNumberFormat="1" applyFill="1" applyBorder="1" applyAlignment="1">
      <alignment horizontal="center" vertical="center"/>
    </xf>
    <xf numFmtId="178" fontId="0" fillId="20" borderId="0" xfId="0" applyNumberFormat="1" applyFill="1" applyBorder="1" applyAlignment="1">
      <alignment horizontal="center" vertical="center"/>
    </xf>
    <xf numFmtId="178" fontId="0" fillId="20" borderId="11" xfId="0" applyNumberForma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73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1" fontId="5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9" fontId="3" fillId="0" borderId="12" xfId="59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wrapText="1"/>
    </xf>
    <xf numFmtId="178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3" fontId="5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73" fontId="3" fillId="0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8" fontId="5" fillId="0" borderId="12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9" fontId="0" fillId="0" borderId="0" xfId="60" applyFont="1" applyAlignment="1">
      <alignment/>
    </xf>
    <xf numFmtId="0" fontId="1" fillId="0" borderId="21" xfId="0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1" fillId="2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20" xfId="0" applyNumberFormat="1" applyFill="1" applyBorder="1" applyAlignment="1">
      <alignment horizontal="center"/>
    </xf>
    <xf numFmtId="178" fontId="0" fillId="0" borderId="20" xfId="0" applyNumberFormat="1" applyFill="1" applyBorder="1" applyAlignment="1">
      <alignment horizontal="center" vertical="center"/>
    </xf>
    <xf numFmtId="178" fontId="1" fillId="22" borderId="20" xfId="0" applyNumberFormat="1" applyFont="1" applyFill="1" applyBorder="1" applyAlignment="1">
      <alignment/>
    </xf>
    <xf numFmtId="178" fontId="1" fillId="10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3" fillId="24" borderId="0" xfId="0" applyFont="1" applyFill="1" applyAlignment="1">
      <alignment/>
    </xf>
    <xf numFmtId="173" fontId="3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275"/>
          <c:w val="0.9305"/>
          <c:h val="0.91725"/>
        </c:manualLayout>
      </c:layout>
      <c:lineChart>
        <c:grouping val="standard"/>
        <c:varyColors val="0"/>
        <c:ser>
          <c:idx val="1"/>
          <c:order val="0"/>
          <c:tx>
            <c:strRef>
              <c:f>'Расходы нараст.'!$A$29</c:f>
              <c:strCache>
                <c:ptCount val="1"/>
                <c:pt idx="0">
                  <c:v>Среднее затраты на 1 гектар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'Расходы нараст.'!$C$4:$H$4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</c:numCache>
            </c:numRef>
          </c:cat>
          <c:val>
            <c:numRef>
              <c:f>'Расходы нараст.'!$C$29:$H$29</c:f>
              <c:numCache>
                <c:ptCount val="6"/>
                <c:pt idx="0">
                  <c:v>2699439.2</c:v>
                </c:pt>
                <c:pt idx="1">
                  <c:v>2398965.033333333</c:v>
                </c:pt>
                <c:pt idx="2">
                  <c:v>1492107.4229333333</c:v>
                </c:pt>
                <c:pt idx="3">
                  <c:v>1356366.7912242424</c:v>
                </c:pt>
                <c:pt idx="4">
                  <c:v>1222957.2872242425</c:v>
                </c:pt>
                <c:pt idx="5">
                  <c:v>1239935.829090909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9613577"/>
        <c:axId val="53487366"/>
      </c:lineChart>
      <c:catAx>
        <c:axId val="29613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площадь, га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87366"/>
        <c:crosses val="autoZero"/>
        <c:auto val="0"/>
        <c:lblOffset val="100"/>
        <c:tickLblSkip val="1"/>
        <c:noMultiLvlLbl val="0"/>
      </c:catAx>
      <c:valAx>
        <c:axId val="53487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затраты,  в сумах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135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5524500"/>
    <xdr:graphicFrame>
      <xdr:nvGraphicFramePr>
        <xdr:cNvPr id="1" name="Chart 1"/>
        <xdr:cNvGraphicFramePr/>
      </xdr:nvGraphicFramePr>
      <xdr:xfrm>
        <a:off x="0" y="0"/>
        <a:ext cx="87534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V%20of%20pistachio%20with%20prof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Урожай"/>
      <sheetName val="Chart1"/>
      <sheetName val="Расходы нараст."/>
      <sheetName val="Расходы фисташки по годам"/>
      <sheetName val="культуры междурядые"/>
      <sheetName val="Расчет затрат междур"/>
      <sheetName val="Расчет доходов"/>
      <sheetName val="FV"/>
      <sheetName val="FV 3"/>
      <sheetName val="Коэф. рентабел."/>
      <sheetName val="Гр окуп. фист 9%."/>
      <sheetName val="Гр. окуп. 20%"/>
      <sheetName val="Чистый доход"/>
      <sheetName val="Расчет по пераработке"/>
      <sheetName val="Рент-ть от перераб"/>
      <sheetName val="NPV with innovation"/>
    </sheetNames>
    <sheetDataSet>
      <sheetData sheetId="8"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35.41666666666667</v>
          </cell>
          <cell r="I56">
            <v>70.83333333333334</v>
          </cell>
          <cell r="J56">
            <v>123.95833333333333</v>
          </cell>
          <cell r="K56">
            <v>212.5</v>
          </cell>
          <cell r="L56">
            <v>371.87500000000006</v>
          </cell>
          <cell r="M56">
            <v>495.8333333333333</v>
          </cell>
          <cell r="N56">
            <v>88.54166666666667</v>
          </cell>
          <cell r="O56">
            <v>672.9166666666666</v>
          </cell>
          <cell r="P56">
            <v>796.875</v>
          </cell>
          <cell r="Q56">
            <v>35.41666666666667</v>
          </cell>
          <cell r="R56">
            <v>1027.0833333333333</v>
          </cell>
          <cell r="S56">
            <v>1062.5</v>
          </cell>
        </row>
        <row r="113">
          <cell r="B113">
            <v>2518.4392</v>
          </cell>
          <cell r="C113">
            <v>1287.5511</v>
          </cell>
          <cell r="D113">
            <v>2380.6721500000003</v>
          </cell>
          <cell r="E113">
            <v>1270.9812</v>
          </cell>
          <cell r="F113">
            <v>1420.34025</v>
          </cell>
          <cell r="G113">
            <v>1554.6993000000002</v>
          </cell>
          <cell r="H113">
            <v>1670.00835</v>
          </cell>
          <cell r="I113">
            <v>1762.2174</v>
          </cell>
          <cell r="J113">
            <v>1854.4264500000002</v>
          </cell>
          <cell r="K113">
            <v>1946.6355</v>
          </cell>
          <cell r="L113">
            <v>2128.39455</v>
          </cell>
          <cell r="M113">
            <v>2224.6536</v>
          </cell>
          <cell r="N113">
            <v>2353.46265</v>
          </cell>
          <cell r="O113">
            <v>2484.9717</v>
          </cell>
          <cell r="P113">
            <v>2407.68075</v>
          </cell>
          <cell r="Q113">
            <v>2675.7527999999998</v>
          </cell>
          <cell r="R113">
            <v>2774.4486</v>
          </cell>
          <cell r="S113">
            <v>4153.7349</v>
          </cell>
        </row>
        <row r="123">
          <cell r="B123">
            <v>2518.4392</v>
          </cell>
          <cell r="C123">
            <v>1396.6656</v>
          </cell>
          <cell r="D123">
            <v>2661.8539</v>
          </cell>
          <cell r="E123">
            <v>1457.8902</v>
          </cell>
          <cell r="F123">
            <v>1665.2265000000002</v>
          </cell>
          <cell r="G123">
            <v>1857.5628000000002</v>
          </cell>
          <cell r="H123">
            <v>2028.5991000000001</v>
          </cell>
          <cell r="I123">
            <v>2172.0354</v>
          </cell>
          <cell r="J123">
            <v>2315.4717000000005</v>
          </cell>
          <cell r="K123">
            <v>2458.9080000000004</v>
          </cell>
          <cell r="L123">
            <v>2716.6443000000004</v>
          </cell>
          <cell r="M123">
            <v>2866.3806000000004</v>
          </cell>
          <cell r="N123">
            <v>3058.4169000000006</v>
          </cell>
          <cell r="O123">
            <v>3254.6532</v>
          </cell>
          <cell r="P123">
            <v>3176.0895000000005</v>
          </cell>
          <cell r="Q123">
            <v>3553.0488</v>
          </cell>
          <cell r="R123">
            <v>3706.5756</v>
          </cell>
          <cell r="S123">
            <v>5580.590400000001</v>
          </cell>
        </row>
        <row r="133">
          <cell r="B133">
            <v>2518.4392</v>
          </cell>
          <cell r="C133">
            <v>1527.6029999999998</v>
          </cell>
          <cell r="D133">
            <v>2999.2720000000004</v>
          </cell>
          <cell r="E133">
            <v>1682.1810000000003</v>
          </cell>
          <cell r="F133">
            <v>1959.0900000000001</v>
          </cell>
          <cell r="G133">
            <v>2220.9990000000003</v>
          </cell>
          <cell r="H133">
            <v>2458.9080000000004</v>
          </cell>
          <cell r="I133">
            <v>2663.8170000000005</v>
          </cell>
          <cell r="J133">
            <v>2868.726</v>
          </cell>
          <cell r="K133">
            <v>3073.635</v>
          </cell>
          <cell r="L133">
            <v>3422.5440000000003</v>
          </cell>
          <cell r="M133">
            <v>3636.4530000000004</v>
          </cell>
          <cell r="N133">
            <v>3904.3620000000005</v>
          </cell>
          <cell r="O133">
            <v>4178.271000000001</v>
          </cell>
          <cell r="P133">
            <v>4098.18</v>
          </cell>
          <cell r="Q133">
            <v>4605.804</v>
          </cell>
          <cell r="R133">
            <v>4825.128</v>
          </cell>
          <cell r="S133">
            <v>7292.816999999999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85" zoomScaleNormal="85" zoomScalePageLayoutView="0" workbookViewId="0" topLeftCell="A1">
      <selection activeCell="D17" sqref="D17"/>
    </sheetView>
  </sheetViews>
  <sheetFormatPr defaultColWidth="9.140625" defaultRowHeight="15"/>
  <cols>
    <col min="1" max="1" width="43.7109375" style="1" customWidth="1"/>
    <col min="2" max="2" width="12.8515625" style="1" customWidth="1"/>
    <col min="3" max="3" width="12.8515625" style="1" bestFit="1" customWidth="1"/>
    <col min="4" max="4" width="12.8515625" style="1" customWidth="1"/>
    <col min="5" max="5" width="12.7109375" style="1" customWidth="1"/>
    <col min="6" max="6" width="12.7109375" style="1" bestFit="1" customWidth="1"/>
    <col min="7" max="7" width="14.57421875" style="1" bestFit="1" customWidth="1"/>
    <col min="8" max="8" width="13.00390625" style="1" customWidth="1"/>
    <col min="9" max="9" width="22.57421875" style="1" customWidth="1"/>
    <col min="10" max="10" width="17.421875" style="1" customWidth="1"/>
    <col min="11" max="11" width="9.140625" style="1" customWidth="1"/>
    <col min="12" max="12" width="9.28125" style="1" bestFit="1" customWidth="1"/>
    <col min="13" max="16384" width="9.140625" style="1" customWidth="1"/>
  </cols>
  <sheetData>
    <row r="1" ht="14.25">
      <c r="A1" s="1" t="s">
        <v>157</v>
      </c>
    </row>
    <row r="2" ht="14.25">
      <c r="H2" s="1" t="s">
        <v>2</v>
      </c>
    </row>
    <row r="3" spans="3:8" ht="14.25">
      <c r="C3" s="164" t="s">
        <v>158</v>
      </c>
      <c r="D3" s="164"/>
      <c r="E3" s="164"/>
      <c r="F3" s="164"/>
      <c r="G3" s="164"/>
      <c r="H3" s="164"/>
    </row>
    <row r="4" spans="1:8" ht="35.25" customHeight="1">
      <c r="A4" s="27" t="s">
        <v>15</v>
      </c>
      <c r="B4" s="22" t="s">
        <v>89</v>
      </c>
      <c r="C4" s="23">
        <v>1</v>
      </c>
      <c r="D4" s="23">
        <v>2</v>
      </c>
      <c r="E4" s="23">
        <v>5</v>
      </c>
      <c r="F4" s="23">
        <v>10</v>
      </c>
      <c r="G4" s="23">
        <v>20</v>
      </c>
      <c r="H4" s="23">
        <v>30</v>
      </c>
    </row>
    <row r="5" spans="1:9" ht="14.25">
      <c r="A5" s="28" t="s">
        <v>159</v>
      </c>
      <c r="B5" s="19"/>
      <c r="C5" s="20">
        <f aca="true" t="shared" si="0" ref="C5:H5">C6+C7+C8+C9+C10</f>
        <v>14002400</v>
      </c>
      <c r="D5" s="20">
        <f t="shared" si="0"/>
        <v>14002400</v>
      </c>
      <c r="E5" s="20">
        <f t="shared" si="0"/>
        <v>13950400</v>
      </c>
      <c r="F5" s="20">
        <f t="shared" si="0"/>
        <v>13950400</v>
      </c>
      <c r="G5" s="20">
        <f t="shared" si="0"/>
        <v>13950400</v>
      </c>
      <c r="H5" s="153">
        <f t="shared" si="0"/>
        <v>15950400</v>
      </c>
      <c r="I5" s="160"/>
    </row>
    <row r="6" spans="1:9" ht="14.25">
      <c r="A6" s="18" t="s">
        <v>9</v>
      </c>
      <c r="B6" s="17">
        <v>3</v>
      </c>
      <c r="C6" s="17">
        <f aca="true" t="shared" si="1" ref="C6:H6">5760*1555</f>
        <v>8956800</v>
      </c>
      <c r="D6" s="17">
        <f t="shared" si="1"/>
        <v>8956800</v>
      </c>
      <c r="E6" s="17">
        <f t="shared" si="1"/>
        <v>8956800</v>
      </c>
      <c r="F6" s="17">
        <f t="shared" si="1"/>
        <v>8956800</v>
      </c>
      <c r="G6" s="17">
        <f t="shared" si="1"/>
        <v>8956800</v>
      </c>
      <c r="H6" s="154">
        <f t="shared" si="1"/>
        <v>8956800</v>
      </c>
      <c r="I6" s="161"/>
    </row>
    <row r="7" spans="1:9" ht="14.25">
      <c r="A7" s="18" t="s">
        <v>160</v>
      </c>
      <c r="B7" s="17">
        <v>3</v>
      </c>
      <c r="C7" s="17">
        <f>800*1620</f>
        <v>1296000</v>
      </c>
      <c r="D7" s="17">
        <f>800*1620</f>
        <v>1296000</v>
      </c>
      <c r="E7" s="17">
        <f>800*1555</f>
        <v>1244000</v>
      </c>
      <c r="F7" s="17">
        <f>800*1555</f>
        <v>1244000</v>
      </c>
      <c r="G7" s="17">
        <f>800*1555</f>
        <v>1244000</v>
      </c>
      <c r="H7" s="154">
        <f>800*1555</f>
        <v>1244000</v>
      </c>
      <c r="I7" s="161"/>
    </row>
    <row r="8" spans="1:9" ht="14.25">
      <c r="A8" s="18" t="s">
        <v>12</v>
      </c>
      <c r="B8" s="17"/>
      <c r="C8" s="17">
        <f aca="true" t="shared" si="2" ref="C8:H8">1080*1620</f>
        <v>1749600</v>
      </c>
      <c r="D8" s="17">
        <f t="shared" si="2"/>
        <v>1749600</v>
      </c>
      <c r="E8" s="17">
        <f t="shared" si="2"/>
        <v>1749600</v>
      </c>
      <c r="F8" s="17">
        <f t="shared" si="2"/>
        <v>1749600</v>
      </c>
      <c r="G8" s="17">
        <f t="shared" si="2"/>
        <v>1749600</v>
      </c>
      <c r="H8" s="154">
        <f t="shared" si="2"/>
        <v>1749600</v>
      </c>
      <c r="I8" s="161"/>
    </row>
    <row r="9" spans="1:9" ht="14.25">
      <c r="A9" s="18" t="s">
        <v>8</v>
      </c>
      <c r="B9" s="17">
        <v>1</v>
      </c>
      <c r="C9" s="24">
        <v>2000000</v>
      </c>
      <c r="D9" s="24">
        <v>2000000</v>
      </c>
      <c r="E9" s="24">
        <v>2000000</v>
      </c>
      <c r="F9" s="24">
        <v>2000000</v>
      </c>
      <c r="G9" s="24">
        <v>2000000</v>
      </c>
      <c r="H9" s="155">
        <v>4000000</v>
      </c>
      <c r="I9" s="161"/>
    </row>
    <row r="10" spans="1:9" ht="14.25">
      <c r="A10" s="18" t="s">
        <v>161</v>
      </c>
      <c r="B10" s="17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155">
        <v>0</v>
      </c>
      <c r="I10" s="161"/>
    </row>
    <row r="11" spans="1:9" ht="14.25">
      <c r="A11" s="28" t="s">
        <v>74</v>
      </c>
      <c r="B11" s="19"/>
      <c r="C11" s="20">
        <f>C12+C13+C14+C15+C16+C18+C19+C20+C21+C22+C23+C24+C25+C26+C27</f>
        <v>2699439.2</v>
      </c>
      <c r="D11" s="20">
        <f>SUM(D12:D27)</f>
        <v>4797930.066666666</v>
      </c>
      <c r="E11" s="20">
        <f>SUM(E12:E27)</f>
        <v>7460537.114666667</v>
      </c>
      <c r="F11" s="20">
        <f>SUM(F12:F27)</f>
        <v>13563667.912242424</v>
      </c>
      <c r="G11" s="20">
        <f>SUM(G12:G27)</f>
        <v>24459145.74448485</v>
      </c>
      <c r="H11" s="153">
        <f>SUM(H12:H27)</f>
        <v>37198074.872727275</v>
      </c>
      <c r="I11" s="160"/>
    </row>
    <row r="12" spans="1:9" ht="14.25">
      <c r="A12" s="18" t="s">
        <v>170</v>
      </c>
      <c r="B12" s="17"/>
      <c r="C12" s="21">
        <f>52000</f>
        <v>52000</v>
      </c>
      <c r="D12" s="21">
        <f>C12*2</f>
        <v>104000</v>
      </c>
      <c r="E12" s="21">
        <f>C12*5</f>
        <v>260000</v>
      </c>
      <c r="F12" s="21">
        <f>C12*10</f>
        <v>520000</v>
      </c>
      <c r="G12" s="21">
        <f>C12*20</f>
        <v>1040000</v>
      </c>
      <c r="H12" s="156">
        <f>C12*30</f>
        <v>1560000</v>
      </c>
      <c r="I12" s="161"/>
    </row>
    <row r="13" spans="1:9" ht="14.25">
      <c r="A13" s="18" t="s">
        <v>72</v>
      </c>
      <c r="B13" s="17"/>
      <c r="C13" s="21">
        <f>20800</f>
        <v>20800</v>
      </c>
      <c r="D13" s="21">
        <f>C13*2</f>
        <v>41600</v>
      </c>
      <c r="E13" s="21">
        <f>C13*5</f>
        <v>104000</v>
      </c>
      <c r="F13" s="21">
        <f>C13*10</f>
        <v>208000</v>
      </c>
      <c r="G13" s="21">
        <f>C13*20</f>
        <v>416000</v>
      </c>
      <c r="H13" s="156">
        <f>C13*30</f>
        <v>624000</v>
      </c>
      <c r="I13" s="161"/>
    </row>
    <row r="14" spans="1:9" ht="14.25">
      <c r="A14" s="18" t="s">
        <v>128</v>
      </c>
      <c r="B14" s="25" t="s">
        <v>92</v>
      </c>
      <c r="C14" s="21">
        <f>400*4536/2</f>
        <v>907200</v>
      </c>
      <c r="D14" s="21">
        <f>C14*2</f>
        <v>1814400</v>
      </c>
      <c r="E14" s="21">
        <f>894*4536/2</f>
        <v>2027592</v>
      </c>
      <c r="F14" s="21">
        <f>1264*4536/2</f>
        <v>2866752</v>
      </c>
      <c r="G14" s="21">
        <f>1788*4536/2</f>
        <v>4055184</v>
      </c>
      <c r="H14" s="156">
        <f>1400*2.8*1620</f>
        <v>6350399.999999999</v>
      </c>
      <c r="I14" s="161"/>
    </row>
    <row r="15" spans="1:9" ht="14.25">
      <c r="A15" s="18" t="s">
        <v>67</v>
      </c>
      <c r="B15" s="25" t="s">
        <v>93</v>
      </c>
      <c r="C15" s="31">
        <f>400*4*0.09*3061.8</f>
        <v>440899.2</v>
      </c>
      <c r="D15" s="31">
        <f>C15*2</f>
        <v>881798.4</v>
      </c>
      <c r="E15" s="31">
        <f>894*4*0.09*3062.2</f>
        <v>985538.4479999999</v>
      </c>
      <c r="F15" s="31">
        <f>1264*4*0.09*3062.2</f>
        <v>1393423.488</v>
      </c>
      <c r="G15" s="31">
        <f>1788*4*0.09*3062.2</f>
        <v>1971076.8959999997</v>
      </c>
      <c r="H15" s="157">
        <f>2800*4*0.09*3062.2</f>
        <v>3086697.5999999996</v>
      </c>
      <c r="I15" s="161"/>
    </row>
    <row r="16" spans="1:9" ht="14.25">
      <c r="A16" s="18" t="s">
        <v>75</v>
      </c>
      <c r="B16" s="25"/>
      <c r="C16" s="31">
        <v>50000</v>
      </c>
      <c r="D16" s="31">
        <v>50000</v>
      </c>
      <c r="E16" s="31">
        <v>50000</v>
      </c>
      <c r="F16" s="31">
        <v>100000</v>
      </c>
      <c r="G16" s="31">
        <v>100000</v>
      </c>
      <c r="H16" s="157">
        <v>150000</v>
      </c>
      <c r="I16" s="161"/>
    </row>
    <row r="17" spans="1:9" ht="14.25">
      <c r="A17" s="18" t="s">
        <v>164</v>
      </c>
      <c r="B17" s="17"/>
      <c r="C17" s="21"/>
      <c r="D17" s="21"/>
      <c r="E17" s="21"/>
      <c r="F17" s="21"/>
      <c r="G17" s="21"/>
      <c r="H17" s="156"/>
      <c r="I17" s="161"/>
    </row>
    <row r="18" spans="1:9" ht="14.25">
      <c r="A18" s="18" t="s">
        <v>165</v>
      </c>
      <c r="B18" s="17" t="s">
        <v>94</v>
      </c>
      <c r="C18" s="21">
        <v>208000</v>
      </c>
      <c r="D18" s="21">
        <f>C18*2</f>
        <v>416000</v>
      </c>
      <c r="E18" s="21">
        <f>C18*5</f>
        <v>1040000</v>
      </c>
      <c r="F18" s="21">
        <f>C18*10</f>
        <v>2080000</v>
      </c>
      <c r="G18" s="21">
        <f>C18*20</f>
        <v>4160000</v>
      </c>
      <c r="H18" s="156">
        <f>C18*30</f>
        <v>6240000</v>
      </c>
      <c r="I18" s="161"/>
    </row>
    <row r="19" spans="1:9" ht="14.25">
      <c r="A19" s="18" t="s">
        <v>11</v>
      </c>
      <c r="B19" s="25" t="s">
        <v>95</v>
      </c>
      <c r="C19" s="34">
        <f>400*100</f>
        <v>40000</v>
      </c>
      <c r="D19" s="34">
        <v>60000</v>
      </c>
      <c r="E19" s="21">
        <v>89500</v>
      </c>
      <c r="F19" s="21">
        <v>126500</v>
      </c>
      <c r="G19" s="21">
        <v>178900</v>
      </c>
      <c r="H19" s="156">
        <f>2800*100</f>
        <v>280000</v>
      </c>
      <c r="I19" s="161"/>
    </row>
    <row r="20" spans="1:9" ht="14.25">
      <c r="A20" s="18" t="s">
        <v>69</v>
      </c>
      <c r="B20" s="17"/>
      <c r="C20" s="21">
        <f>H20/30</f>
        <v>36000</v>
      </c>
      <c r="D20" s="21">
        <f aca="true" t="shared" si="3" ref="D20:D25">C20*2</f>
        <v>72000</v>
      </c>
      <c r="E20" s="21">
        <f aca="true" t="shared" si="4" ref="E20:E25">C20*5</f>
        <v>180000</v>
      </c>
      <c r="F20" s="21">
        <f aca="true" t="shared" si="5" ref="F20:F25">C20*10</f>
        <v>360000</v>
      </c>
      <c r="G20" s="21">
        <f aca="true" t="shared" si="6" ref="G20:G25">C20*20</f>
        <v>720000</v>
      </c>
      <c r="H20" s="156">
        <v>1080000</v>
      </c>
      <c r="I20" s="161"/>
    </row>
    <row r="21" spans="1:9" ht="14.25">
      <c r="A21" s="18" t="s">
        <v>76</v>
      </c>
      <c r="B21" s="17"/>
      <c r="C21" s="21">
        <v>141000</v>
      </c>
      <c r="D21" s="21">
        <f t="shared" si="3"/>
        <v>282000</v>
      </c>
      <c r="E21" s="21">
        <f t="shared" si="4"/>
        <v>705000</v>
      </c>
      <c r="F21" s="21">
        <f t="shared" si="5"/>
        <v>1410000</v>
      </c>
      <c r="G21" s="21">
        <f t="shared" si="6"/>
        <v>2820000</v>
      </c>
      <c r="H21" s="156">
        <f>C21*30</f>
        <v>4230000</v>
      </c>
      <c r="I21" s="161"/>
    </row>
    <row r="22" spans="1:9" ht="14.25">
      <c r="A22" s="18" t="s">
        <v>127</v>
      </c>
      <c r="B22" s="17" t="s">
        <v>96</v>
      </c>
      <c r="C22" s="21">
        <v>28000</v>
      </c>
      <c r="D22" s="21">
        <f t="shared" si="3"/>
        <v>56000</v>
      </c>
      <c r="E22" s="21">
        <f t="shared" si="4"/>
        <v>140000</v>
      </c>
      <c r="F22" s="21">
        <f t="shared" si="5"/>
        <v>280000</v>
      </c>
      <c r="G22" s="21">
        <f t="shared" si="6"/>
        <v>560000</v>
      </c>
      <c r="H22" s="156">
        <f>C22*30</f>
        <v>840000</v>
      </c>
      <c r="I22" s="161"/>
    </row>
    <row r="23" spans="1:9" ht="14.25">
      <c r="A23" s="18" t="s">
        <v>82</v>
      </c>
      <c r="B23" s="17" t="s">
        <v>68</v>
      </c>
      <c r="C23" s="21">
        <v>50000</v>
      </c>
      <c r="D23" s="21">
        <f t="shared" si="3"/>
        <v>100000</v>
      </c>
      <c r="E23" s="21">
        <f t="shared" si="4"/>
        <v>250000</v>
      </c>
      <c r="F23" s="21">
        <f t="shared" si="5"/>
        <v>500000</v>
      </c>
      <c r="G23" s="21">
        <f t="shared" si="6"/>
        <v>1000000</v>
      </c>
      <c r="H23" s="156">
        <f>32*10000*5</f>
        <v>1600000</v>
      </c>
      <c r="I23" s="161"/>
    </row>
    <row r="24" spans="1:9" ht="14.25">
      <c r="A24" s="18" t="s">
        <v>166</v>
      </c>
      <c r="B24" s="17" t="s">
        <v>90</v>
      </c>
      <c r="C24" s="21">
        <f>290*273</f>
        <v>79170</v>
      </c>
      <c r="D24" s="21">
        <f t="shared" si="3"/>
        <v>158340</v>
      </c>
      <c r="E24" s="21">
        <f t="shared" si="4"/>
        <v>395850</v>
      </c>
      <c r="F24" s="21">
        <f t="shared" si="5"/>
        <v>791700</v>
      </c>
      <c r="G24" s="21">
        <f t="shared" si="6"/>
        <v>1583400</v>
      </c>
      <c r="H24" s="156">
        <f>C24*30</f>
        <v>2375100</v>
      </c>
      <c r="I24" s="161"/>
    </row>
    <row r="25" spans="1:9" ht="14.25">
      <c r="A25" s="18" t="s">
        <v>167</v>
      </c>
      <c r="B25" s="17" t="s">
        <v>91</v>
      </c>
      <c r="C25" s="21">
        <f>165*447</f>
        <v>73755</v>
      </c>
      <c r="D25" s="21">
        <f t="shared" si="3"/>
        <v>147510</v>
      </c>
      <c r="E25" s="21">
        <f t="shared" si="4"/>
        <v>368775</v>
      </c>
      <c r="F25" s="21">
        <f t="shared" si="5"/>
        <v>737550</v>
      </c>
      <c r="G25" s="21">
        <f t="shared" si="6"/>
        <v>1475100</v>
      </c>
      <c r="H25" s="156">
        <f>C25*30</f>
        <v>2212650</v>
      </c>
      <c r="I25" s="161"/>
    </row>
    <row r="26" spans="1:9" ht="14.25">
      <c r="A26" s="18" t="s">
        <v>71</v>
      </c>
      <c r="B26" s="17" t="s">
        <v>68</v>
      </c>
      <c r="C26" s="21">
        <f>25000*5</f>
        <v>125000</v>
      </c>
      <c r="D26" s="21">
        <f>D4/1.5*$C$26</f>
        <v>166666.66666666666</v>
      </c>
      <c r="E26" s="21">
        <f>E4/1.5*$C$26</f>
        <v>416666.6666666667</v>
      </c>
      <c r="F26" s="21">
        <f>F4/1.5*$C$26</f>
        <v>833333.3333333334</v>
      </c>
      <c r="G26" s="21">
        <f>G4/1.5*$C$26</f>
        <v>1666666.6666666667</v>
      </c>
      <c r="H26" s="156">
        <f>H4/1.5*$C$26</f>
        <v>2500000</v>
      </c>
      <c r="I26" s="161"/>
    </row>
    <row r="27" spans="1:9" ht="14.25">
      <c r="A27" s="18" t="s">
        <v>84</v>
      </c>
      <c r="B27" s="17"/>
      <c r="C27" s="21">
        <f>49735*9</f>
        <v>447615</v>
      </c>
      <c r="D27" s="21">
        <f>C27</f>
        <v>447615</v>
      </c>
      <c r="E27" s="21">
        <f>49735*9</f>
        <v>447615</v>
      </c>
      <c r="F27" s="21">
        <f>F4/3.3*$C$27</f>
        <v>1356409.0909090908</v>
      </c>
      <c r="G27" s="21">
        <f>G4/3.3*$C$27</f>
        <v>2712818.1818181816</v>
      </c>
      <c r="H27" s="156">
        <f>H4/3.3*$C$27</f>
        <v>4069227.272727273</v>
      </c>
      <c r="I27" s="161"/>
    </row>
    <row r="28" spans="1:9" ht="14.25">
      <c r="A28" s="29" t="s">
        <v>17</v>
      </c>
      <c r="B28" s="3"/>
      <c r="C28" s="4">
        <f aca="true" t="shared" si="7" ref="C28:H28">C5+C11</f>
        <v>16701839.2</v>
      </c>
      <c r="D28" s="4">
        <f t="shared" si="7"/>
        <v>18800330.066666666</v>
      </c>
      <c r="E28" s="4">
        <f t="shared" si="7"/>
        <v>21410937.114666667</v>
      </c>
      <c r="F28" s="4">
        <f t="shared" si="7"/>
        <v>27514067.912242424</v>
      </c>
      <c r="G28" s="4">
        <f t="shared" si="7"/>
        <v>38409545.74448485</v>
      </c>
      <c r="H28" s="158">
        <f t="shared" si="7"/>
        <v>53148474.872727275</v>
      </c>
      <c r="I28" s="161"/>
    </row>
    <row r="29" spans="1:9" ht="14.25">
      <c r="A29" s="30" t="s">
        <v>16</v>
      </c>
      <c r="B29" s="9"/>
      <c r="C29" s="5">
        <f>C11/1</f>
        <v>2699439.2</v>
      </c>
      <c r="D29" s="5">
        <f>D11/2</f>
        <v>2398965.033333333</v>
      </c>
      <c r="E29" s="5">
        <f>E11/5</f>
        <v>1492107.4229333333</v>
      </c>
      <c r="F29" s="5">
        <f>F11/10</f>
        <v>1356366.7912242424</v>
      </c>
      <c r="G29" s="5">
        <f>G11/20</f>
        <v>1222957.2872242425</v>
      </c>
      <c r="H29" s="159">
        <f>H11/30</f>
        <v>1239935.829090909</v>
      </c>
      <c r="I29" s="161"/>
    </row>
    <row r="30" ht="14.25">
      <c r="I30" s="161"/>
    </row>
    <row r="31" spans="3:9" ht="14.25">
      <c r="C31" s="47"/>
      <c r="I31" s="162"/>
    </row>
    <row r="32" spans="3:9" ht="14.25">
      <c r="C32" s="47"/>
      <c r="I32" s="163"/>
    </row>
    <row r="34" spans="4:8" ht="14.25">
      <c r="D34" s="48"/>
      <c r="E34" s="48"/>
      <c r="F34" s="48"/>
      <c r="G34" s="48"/>
      <c r="H34" s="48"/>
    </row>
    <row r="36" spans="1:2" ht="23.25">
      <c r="A36" s="8"/>
      <c r="B36" s="8"/>
    </row>
  </sheetData>
  <sheetProtection/>
  <mergeCells count="1">
    <mergeCell ref="C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zoomScale="70" zoomScaleNormal="70" zoomScalePageLayoutView="0" workbookViewId="0" topLeftCell="A1">
      <selection activeCell="A6" sqref="A6:A32"/>
    </sheetView>
  </sheetViews>
  <sheetFormatPr defaultColWidth="9.140625" defaultRowHeight="15"/>
  <cols>
    <col min="1" max="1" width="38.28125" style="1" customWidth="1"/>
    <col min="2" max="2" width="12.7109375" style="1" bestFit="1" customWidth="1"/>
    <col min="3" max="3" width="12.7109375" style="1" customWidth="1"/>
    <col min="4" max="4" width="11.7109375" style="1" bestFit="1" customWidth="1"/>
    <col min="5" max="5" width="14.421875" style="1" bestFit="1" customWidth="1"/>
    <col min="6" max="6" width="13.00390625" style="1" customWidth="1"/>
    <col min="7" max="13" width="11.7109375" style="1" bestFit="1" customWidth="1"/>
    <col min="14" max="14" width="9.140625" style="1" customWidth="1"/>
    <col min="15" max="15" width="11.00390625" style="1" bestFit="1" customWidth="1"/>
    <col min="16" max="16" width="9.28125" style="1" bestFit="1" customWidth="1"/>
    <col min="17" max="17" width="9.140625" style="1" customWidth="1"/>
    <col min="18" max="18" width="11.00390625" style="1" bestFit="1" customWidth="1"/>
    <col min="19" max="19" width="11.00390625" style="1" customWidth="1"/>
    <col min="20" max="16384" width="9.140625" style="1" customWidth="1"/>
  </cols>
  <sheetData>
    <row r="1" ht="14.25">
      <c r="A1" s="1" t="s">
        <v>157</v>
      </c>
    </row>
    <row r="2" ht="14.25">
      <c r="F2" s="1" t="s">
        <v>2</v>
      </c>
    </row>
    <row r="3" spans="2:6" ht="14.25">
      <c r="B3" s="164" t="s">
        <v>158</v>
      </c>
      <c r="C3" s="164"/>
      <c r="D3" s="164"/>
      <c r="E3" s="164"/>
      <c r="F3" s="164"/>
    </row>
    <row r="4" spans="1:19" ht="35.25" customHeight="1">
      <c r="A4" s="6" t="s">
        <v>15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</row>
    <row r="5" spans="1:19" ht="14.25">
      <c r="A5" s="26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4.25">
      <c r="A6" s="28" t="s">
        <v>159</v>
      </c>
      <c r="B6" s="20">
        <f>B7+B8+B9+B10+B11</f>
        <v>14002400</v>
      </c>
      <c r="C6" s="20">
        <f aca="true" t="shared" si="0" ref="C6:S6">C7+C8+C9+C10+C11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0">
        <f t="shared" si="0"/>
        <v>0</v>
      </c>
      <c r="P6" s="20">
        <f t="shared" si="0"/>
        <v>0</v>
      </c>
      <c r="Q6" s="20">
        <f t="shared" si="0"/>
        <v>0</v>
      </c>
      <c r="R6" s="20">
        <f t="shared" si="0"/>
        <v>0</v>
      </c>
      <c r="S6" s="20">
        <f t="shared" si="0"/>
        <v>0</v>
      </c>
    </row>
    <row r="7" spans="1:19" ht="14.25">
      <c r="A7" s="18" t="s">
        <v>9</v>
      </c>
      <c r="B7" s="17">
        <f>5760*1555</f>
        <v>8956800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4.25">
      <c r="A8" s="18" t="s">
        <v>160</v>
      </c>
      <c r="B8" s="17">
        <f>800*1620</f>
        <v>1296000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4.25">
      <c r="A9" s="18" t="s">
        <v>12</v>
      </c>
      <c r="B9" s="17">
        <f>1080*1620</f>
        <v>1749600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4.25">
      <c r="A10" s="18" t="s">
        <v>8</v>
      </c>
      <c r="B10" s="24">
        <v>2000000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4.25">
      <c r="A11" s="18" t="s">
        <v>161</v>
      </c>
      <c r="B11" s="24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4.25">
      <c r="A12" s="28" t="s">
        <v>74</v>
      </c>
      <c r="B12" s="20">
        <f>B13+B14+B15+B16+B17+B18+B19+B20+B21+B22+B23+B24+B25+B26+B27+B28+B29+B30+B31</f>
        <v>2699439.2</v>
      </c>
      <c r="C12" s="20">
        <f aca="true" t="shared" si="1" ref="C12:S12">C13+C14+C15+C16+C17+C18+C19+C20+C21+C22+C23+C24+C25+C26+C27+C28+C29+C30+C31</f>
        <v>1091145</v>
      </c>
      <c r="D12" s="20">
        <f t="shared" si="1"/>
        <v>1874545</v>
      </c>
      <c r="E12" s="20">
        <f t="shared" si="1"/>
        <v>874545</v>
      </c>
      <c r="F12" s="20">
        <f t="shared" si="1"/>
        <v>874545</v>
      </c>
      <c r="G12" s="20">
        <f t="shared" si="1"/>
        <v>874545</v>
      </c>
      <c r="H12" s="20">
        <f t="shared" si="1"/>
        <v>874545</v>
      </c>
      <c r="I12" s="20">
        <f t="shared" si="1"/>
        <v>874545</v>
      </c>
      <c r="J12" s="20">
        <f t="shared" si="1"/>
        <v>874545</v>
      </c>
      <c r="K12" s="20">
        <f t="shared" si="1"/>
        <v>874545</v>
      </c>
      <c r="L12" s="20">
        <f t="shared" si="1"/>
        <v>919545</v>
      </c>
      <c r="M12" s="20">
        <f t="shared" si="1"/>
        <v>919545</v>
      </c>
      <c r="N12" s="20">
        <f t="shared" si="1"/>
        <v>934545</v>
      </c>
      <c r="O12" s="20">
        <f t="shared" si="1"/>
        <v>949545</v>
      </c>
      <c r="P12" s="20">
        <f t="shared" si="1"/>
        <v>874545</v>
      </c>
      <c r="Q12" s="20">
        <f t="shared" si="1"/>
        <v>946620</v>
      </c>
      <c r="R12" s="20">
        <f t="shared" si="1"/>
        <v>946620</v>
      </c>
      <c r="S12" s="20">
        <f t="shared" si="1"/>
        <v>1435395</v>
      </c>
    </row>
    <row r="13" spans="1:19" ht="14.25">
      <c r="A13" s="18" t="s">
        <v>162</v>
      </c>
      <c r="B13" s="21">
        <v>0</v>
      </c>
      <c r="C13" s="21">
        <f>52000</f>
        <v>52000</v>
      </c>
      <c r="D13" s="21">
        <f>52000</f>
        <v>52000</v>
      </c>
      <c r="E13" s="21">
        <f>52000</f>
        <v>52000</v>
      </c>
      <c r="F13" s="21">
        <f>52000</f>
        <v>52000</v>
      </c>
      <c r="G13" s="21">
        <f>52000</f>
        <v>52000</v>
      </c>
      <c r="H13" s="21">
        <f>52000</f>
        <v>52000</v>
      </c>
      <c r="I13" s="21">
        <f>52000</f>
        <v>52000</v>
      </c>
      <c r="J13" s="21">
        <f>52000</f>
        <v>52000</v>
      </c>
      <c r="K13" s="21">
        <f>52000</f>
        <v>52000</v>
      </c>
      <c r="L13" s="21">
        <f>52000</f>
        <v>52000</v>
      </c>
      <c r="M13" s="21">
        <f>52000</f>
        <v>52000</v>
      </c>
      <c r="N13" s="21">
        <f>52000</f>
        <v>52000</v>
      </c>
      <c r="O13" s="21">
        <f>52000</f>
        <v>52000</v>
      </c>
      <c r="P13" s="21">
        <f>52000</f>
        <v>52000</v>
      </c>
      <c r="Q13" s="21">
        <f>52000</f>
        <v>52000</v>
      </c>
      <c r="R13" s="21">
        <f>52000</f>
        <v>52000</v>
      </c>
      <c r="S13" s="21">
        <f>52000</f>
        <v>52000</v>
      </c>
    </row>
    <row r="14" spans="1:19" ht="14.25">
      <c r="A14" s="18" t="s">
        <v>163</v>
      </c>
      <c r="B14" s="21">
        <f>'Расходы нараст.'!C12</f>
        <v>52000</v>
      </c>
      <c r="C14" s="21">
        <f>52000</f>
        <v>52000</v>
      </c>
      <c r="D14" s="21">
        <f>52000</f>
        <v>52000</v>
      </c>
      <c r="E14" s="21">
        <f>52000</f>
        <v>52000</v>
      </c>
      <c r="F14" s="21">
        <f>52000</f>
        <v>52000</v>
      </c>
      <c r="G14" s="21">
        <f>52000</f>
        <v>52000</v>
      </c>
      <c r="H14" s="21">
        <f>52000</f>
        <v>52000</v>
      </c>
      <c r="I14" s="21">
        <f>52000</f>
        <v>52000</v>
      </c>
      <c r="J14" s="21">
        <f>52000</f>
        <v>52000</v>
      </c>
      <c r="K14" s="21">
        <f>52000</f>
        <v>52000</v>
      </c>
      <c r="L14" s="21">
        <f>52000</f>
        <v>52000</v>
      </c>
      <c r="M14" s="21">
        <f>52000</f>
        <v>52000</v>
      </c>
      <c r="N14" s="21">
        <f>52000</f>
        <v>52000</v>
      </c>
      <c r="O14" s="21">
        <f>52000</f>
        <v>52000</v>
      </c>
      <c r="P14" s="21">
        <f>52000</f>
        <v>52000</v>
      </c>
      <c r="Q14" s="21">
        <f>52000</f>
        <v>52000</v>
      </c>
      <c r="R14" s="21">
        <f>52000</f>
        <v>52000</v>
      </c>
      <c r="S14" s="21">
        <f>52000</f>
        <v>52000</v>
      </c>
    </row>
    <row r="15" spans="1:19" ht="14.25">
      <c r="A15" s="18" t="s">
        <v>72</v>
      </c>
      <c r="B15" s="21">
        <f>'Расходы нараст.'!C13</f>
        <v>20800</v>
      </c>
      <c r="C15" s="21">
        <f>20800</f>
        <v>20800</v>
      </c>
      <c r="D15" s="21">
        <f>20800</f>
        <v>20800</v>
      </c>
      <c r="E15" s="21">
        <f>20800</f>
        <v>20800</v>
      </c>
      <c r="F15" s="21">
        <f>20800</f>
        <v>20800</v>
      </c>
      <c r="G15" s="21">
        <f>20800</f>
        <v>20800</v>
      </c>
      <c r="H15" s="21">
        <f>20800</f>
        <v>20800</v>
      </c>
      <c r="I15" s="21">
        <f>20800</f>
        <v>20800</v>
      </c>
      <c r="J15" s="21">
        <f>20800</f>
        <v>20800</v>
      </c>
      <c r="K15" s="21">
        <f>20800</f>
        <v>20800</v>
      </c>
      <c r="L15" s="21">
        <f>20800</f>
        <v>20800</v>
      </c>
      <c r="M15" s="21">
        <f>20800</f>
        <v>20800</v>
      </c>
      <c r="N15" s="21">
        <f>20800</f>
        <v>20800</v>
      </c>
      <c r="O15" s="21">
        <f>20800</f>
        <v>20800</v>
      </c>
      <c r="P15" s="21">
        <f>20800</f>
        <v>20800</v>
      </c>
      <c r="Q15" s="21">
        <f>20800</f>
        <v>20800</v>
      </c>
      <c r="R15" s="21">
        <f>20800</f>
        <v>20800</v>
      </c>
      <c r="S15" s="21">
        <f>20800</f>
        <v>20800</v>
      </c>
    </row>
    <row r="16" spans="1:19" ht="14.25">
      <c r="A16" s="18" t="s">
        <v>128</v>
      </c>
      <c r="B16" s="21">
        <f>'Расходы нараст.'!C14</f>
        <v>907200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spans="1:19" ht="14.25">
      <c r="A17" s="18" t="s">
        <v>67</v>
      </c>
      <c r="B17" s="21">
        <f>'Расходы нараст.'!C15</f>
        <v>440899.2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</row>
    <row r="18" spans="1:19" ht="14.25">
      <c r="A18" s="18" t="s">
        <v>75</v>
      </c>
      <c r="B18" s="21">
        <f>'Расходы нараст.'!C16</f>
        <v>50000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spans="1:19" ht="14.25">
      <c r="A19" s="18" t="s">
        <v>164</v>
      </c>
      <c r="B19" s="21">
        <f>'Расходы нараст.'!C17</f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</row>
    <row r="20" spans="1:19" ht="14.25">
      <c r="A20" s="18" t="s">
        <v>165</v>
      </c>
      <c r="B20" s="21">
        <f>'Расходы нараст.'!C18</f>
        <v>208000</v>
      </c>
      <c r="C20" s="32">
        <f>B20*20%</f>
        <v>41600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</row>
    <row r="21" spans="1:19" ht="14.25">
      <c r="A21" s="18" t="s">
        <v>11</v>
      </c>
      <c r="B21" s="21">
        <f>'Расходы нараст.'!C19</f>
        <v>40000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</row>
    <row r="22" spans="1:19" ht="14.25">
      <c r="A22" s="18" t="s">
        <v>69</v>
      </c>
      <c r="B22" s="21">
        <f>'Расходы нараст.'!C20</f>
        <v>36000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</row>
    <row r="23" spans="1:19" ht="14.25">
      <c r="A23" s="18" t="s">
        <v>76</v>
      </c>
      <c r="B23" s="21">
        <f>'Расходы нараст.'!C21</f>
        <v>141000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</row>
    <row r="24" spans="1:19" ht="14.25">
      <c r="A24" s="18" t="s">
        <v>127</v>
      </c>
      <c r="B24" s="21">
        <f>'Расходы нараст.'!C22</f>
        <v>28000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</row>
    <row r="25" spans="1:19" ht="14.25">
      <c r="A25" s="18" t="s">
        <v>70</v>
      </c>
      <c r="B25" s="21">
        <f>'Расходы нараст.'!C23</f>
        <v>50000</v>
      </c>
      <c r="C25" s="21">
        <v>50000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4.25">
      <c r="A26" s="18" t="s">
        <v>166</v>
      </c>
      <c r="B26" s="21">
        <f>'Расходы нараст.'!C24</f>
        <v>79170</v>
      </c>
      <c r="C26" s="32">
        <f>B26</f>
        <v>79170</v>
      </c>
      <c r="D26" s="32">
        <f aca="true" t="shared" si="2" ref="D26:P26">C26</f>
        <v>79170</v>
      </c>
      <c r="E26" s="32">
        <f t="shared" si="2"/>
        <v>79170</v>
      </c>
      <c r="F26" s="32">
        <f t="shared" si="2"/>
        <v>79170</v>
      </c>
      <c r="G26" s="32">
        <f t="shared" si="2"/>
        <v>79170</v>
      </c>
      <c r="H26" s="32">
        <f t="shared" si="2"/>
        <v>79170</v>
      </c>
      <c r="I26" s="32">
        <f t="shared" si="2"/>
        <v>79170</v>
      </c>
      <c r="J26" s="32">
        <f t="shared" si="2"/>
        <v>79170</v>
      </c>
      <c r="K26" s="32">
        <f t="shared" si="2"/>
        <v>79170</v>
      </c>
      <c r="L26" s="32">
        <f t="shared" si="2"/>
        <v>79170</v>
      </c>
      <c r="M26" s="32">
        <f t="shared" si="2"/>
        <v>79170</v>
      </c>
      <c r="N26" s="32">
        <f t="shared" si="2"/>
        <v>79170</v>
      </c>
      <c r="O26" s="32">
        <f t="shared" si="2"/>
        <v>79170</v>
      </c>
      <c r="P26" s="32">
        <f t="shared" si="2"/>
        <v>79170</v>
      </c>
      <c r="Q26" s="32">
        <v>0</v>
      </c>
      <c r="R26" s="32">
        <v>0</v>
      </c>
      <c r="S26" s="32">
        <f>P26*3</f>
        <v>237510</v>
      </c>
    </row>
    <row r="27" spans="1:19" ht="14.25">
      <c r="A27" s="18" t="s">
        <v>167</v>
      </c>
      <c r="B27" s="21">
        <f>'Расходы нараст.'!C25</f>
        <v>73755</v>
      </c>
      <c r="C27" s="32">
        <f>B27</f>
        <v>73755</v>
      </c>
      <c r="D27" s="32">
        <f aca="true" t="shared" si="3" ref="D27:P27">C27</f>
        <v>73755</v>
      </c>
      <c r="E27" s="32">
        <f t="shared" si="3"/>
        <v>73755</v>
      </c>
      <c r="F27" s="32">
        <f t="shared" si="3"/>
        <v>73755</v>
      </c>
      <c r="G27" s="32">
        <f t="shared" si="3"/>
        <v>73755</v>
      </c>
      <c r="H27" s="32">
        <f t="shared" si="3"/>
        <v>73755</v>
      </c>
      <c r="I27" s="32">
        <f t="shared" si="3"/>
        <v>73755</v>
      </c>
      <c r="J27" s="32">
        <f t="shared" si="3"/>
        <v>73755</v>
      </c>
      <c r="K27" s="32">
        <f t="shared" si="3"/>
        <v>73755</v>
      </c>
      <c r="L27" s="32">
        <f t="shared" si="3"/>
        <v>73755</v>
      </c>
      <c r="M27" s="32">
        <f t="shared" si="3"/>
        <v>73755</v>
      </c>
      <c r="N27" s="32">
        <f t="shared" si="3"/>
        <v>73755</v>
      </c>
      <c r="O27" s="32">
        <f t="shared" si="3"/>
        <v>73755</v>
      </c>
      <c r="P27" s="32">
        <f t="shared" si="3"/>
        <v>73755</v>
      </c>
      <c r="Q27" s="32">
        <v>0</v>
      </c>
      <c r="R27" s="32">
        <v>0</v>
      </c>
      <c r="S27" s="32">
        <f>P27*3</f>
        <v>221265</v>
      </c>
    </row>
    <row r="28" spans="1:19" ht="14.25">
      <c r="A28" s="18" t="s">
        <v>71</v>
      </c>
      <c r="B28" s="21">
        <f>'Расходы нараст.'!C26</f>
        <v>125000</v>
      </c>
      <c r="C28" s="21">
        <v>125000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4.25">
      <c r="A29" s="18" t="s">
        <v>84</v>
      </c>
      <c r="B29" s="21">
        <f>'Расходы нараст.'!C27</f>
        <v>447615</v>
      </c>
      <c r="C29" s="21">
        <f>49735*12</f>
        <v>596820</v>
      </c>
      <c r="D29" s="21">
        <f aca="true" t="shared" si="4" ref="D29:S29">49735*12</f>
        <v>596820</v>
      </c>
      <c r="E29" s="21">
        <f t="shared" si="4"/>
        <v>596820</v>
      </c>
      <c r="F29" s="21">
        <f t="shared" si="4"/>
        <v>596820</v>
      </c>
      <c r="G29" s="21">
        <f t="shared" si="4"/>
        <v>596820</v>
      </c>
      <c r="H29" s="21">
        <f t="shared" si="4"/>
        <v>596820</v>
      </c>
      <c r="I29" s="21">
        <f t="shared" si="4"/>
        <v>596820</v>
      </c>
      <c r="J29" s="21">
        <f t="shared" si="4"/>
        <v>596820</v>
      </c>
      <c r="K29" s="21">
        <f t="shared" si="4"/>
        <v>596820</v>
      </c>
      <c r="L29" s="21">
        <f t="shared" si="4"/>
        <v>596820</v>
      </c>
      <c r="M29" s="21">
        <f t="shared" si="4"/>
        <v>596820</v>
      </c>
      <c r="N29" s="21">
        <f t="shared" si="4"/>
        <v>596820</v>
      </c>
      <c r="O29" s="21">
        <f t="shared" si="4"/>
        <v>596820</v>
      </c>
      <c r="P29" s="21">
        <f t="shared" si="4"/>
        <v>596820</v>
      </c>
      <c r="Q29" s="21">
        <f t="shared" si="4"/>
        <v>596820</v>
      </c>
      <c r="R29" s="21">
        <f t="shared" si="4"/>
        <v>596820</v>
      </c>
      <c r="S29" s="21">
        <f t="shared" si="4"/>
        <v>596820</v>
      </c>
    </row>
    <row r="30" spans="1:19" ht="14.25">
      <c r="A30" s="18" t="s">
        <v>168</v>
      </c>
      <c r="B30" s="21"/>
      <c r="C30" s="32"/>
      <c r="D30" s="21">
        <v>1000000</v>
      </c>
      <c r="E30" s="21">
        <v>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4.25">
      <c r="A31" s="18" t="s">
        <v>77</v>
      </c>
      <c r="B31" s="21">
        <v>0</v>
      </c>
      <c r="C31" s="32"/>
      <c r="D31" s="32"/>
      <c r="E31" s="32"/>
      <c r="F31" s="32"/>
      <c r="G31" s="32"/>
      <c r="H31" s="32">
        <v>0</v>
      </c>
      <c r="I31" s="32">
        <v>0</v>
      </c>
      <c r="J31" s="32">
        <v>0</v>
      </c>
      <c r="K31" s="32">
        <v>0</v>
      </c>
      <c r="L31" s="32">
        <f>15000*3</f>
        <v>45000</v>
      </c>
      <c r="M31" s="32">
        <f>15000*3</f>
        <v>45000</v>
      </c>
      <c r="N31" s="32">
        <f>15000*4</f>
        <v>60000</v>
      </c>
      <c r="O31" s="32">
        <f>15000*5</f>
        <v>75000</v>
      </c>
      <c r="P31" s="32">
        <v>0</v>
      </c>
      <c r="Q31" s="32">
        <f>15000*15</f>
        <v>225000</v>
      </c>
      <c r="R31" s="32">
        <f>15000*15</f>
        <v>225000</v>
      </c>
      <c r="S31" s="32">
        <f>15000*17</f>
        <v>255000</v>
      </c>
    </row>
    <row r="32" spans="1:19" ht="14.25">
      <c r="A32" s="3" t="s">
        <v>169</v>
      </c>
      <c r="B32" s="4">
        <f>B6+B12</f>
        <v>16701839.2</v>
      </c>
      <c r="C32" s="4">
        <f aca="true" t="shared" si="5" ref="C32:S32">C6+C12</f>
        <v>1091145</v>
      </c>
      <c r="D32" s="4">
        <f t="shared" si="5"/>
        <v>1874545</v>
      </c>
      <c r="E32" s="4">
        <f t="shared" si="5"/>
        <v>874545</v>
      </c>
      <c r="F32" s="4">
        <f t="shared" si="5"/>
        <v>874545</v>
      </c>
      <c r="G32" s="4">
        <f t="shared" si="5"/>
        <v>874545</v>
      </c>
      <c r="H32" s="4">
        <f t="shared" si="5"/>
        <v>874545</v>
      </c>
      <c r="I32" s="4">
        <f t="shared" si="5"/>
        <v>874545</v>
      </c>
      <c r="J32" s="4">
        <f t="shared" si="5"/>
        <v>874545</v>
      </c>
      <c r="K32" s="4">
        <f t="shared" si="5"/>
        <v>874545</v>
      </c>
      <c r="L32" s="4">
        <f t="shared" si="5"/>
        <v>919545</v>
      </c>
      <c r="M32" s="4">
        <f t="shared" si="5"/>
        <v>919545</v>
      </c>
      <c r="N32" s="4">
        <f t="shared" si="5"/>
        <v>934545</v>
      </c>
      <c r="O32" s="4">
        <f t="shared" si="5"/>
        <v>949545</v>
      </c>
      <c r="P32" s="4">
        <f t="shared" si="5"/>
        <v>874545</v>
      </c>
      <c r="Q32" s="4">
        <f t="shared" si="5"/>
        <v>946620</v>
      </c>
      <c r="R32" s="4">
        <f t="shared" si="5"/>
        <v>946620</v>
      </c>
      <c r="S32" s="4">
        <f t="shared" si="5"/>
        <v>1435395</v>
      </c>
    </row>
    <row r="36" ht="14.25">
      <c r="B36" s="1" t="s">
        <v>2</v>
      </c>
    </row>
    <row r="40" ht="23.25">
      <c r="A40" s="8"/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5.140625" style="0" customWidth="1"/>
    <col min="2" max="2" width="9.140625" style="0" customWidth="1"/>
    <col min="3" max="3" width="6.57421875" style="0" customWidth="1"/>
    <col min="4" max="4" width="7.421875" style="0" customWidth="1"/>
    <col min="5" max="5" width="7.28125" style="0" customWidth="1"/>
    <col min="6" max="6" width="7.7109375" style="0" customWidth="1"/>
    <col min="7" max="7" width="10.57421875" style="0" customWidth="1"/>
    <col min="8" max="8" width="11.00390625" style="0" customWidth="1"/>
    <col min="9" max="9" width="12.7109375" style="0" customWidth="1"/>
    <col min="10" max="10" width="8.57421875" style="0" customWidth="1"/>
    <col min="11" max="11" width="14.7109375" style="0" customWidth="1"/>
    <col min="12" max="12" width="11.421875" style="0" customWidth="1"/>
  </cols>
  <sheetData>
    <row r="1" ht="14.25">
      <c r="A1" t="s">
        <v>18</v>
      </c>
    </row>
    <row r="4" spans="1:12" ht="39" customHeight="1">
      <c r="A4" s="165" t="s">
        <v>22</v>
      </c>
      <c r="B4" s="165" t="s">
        <v>134</v>
      </c>
      <c r="C4" s="167" t="s">
        <v>19</v>
      </c>
      <c r="D4" s="167"/>
      <c r="E4" s="167"/>
      <c r="F4" s="52" t="s">
        <v>129</v>
      </c>
      <c r="G4" s="52" t="s">
        <v>24</v>
      </c>
      <c r="H4" s="52" t="s">
        <v>130</v>
      </c>
      <c r="I4" s="52" t="s">
        <v>132</v>
      </c>
      <c r="J4" s="52" t="s">
        <v>87</v>
      </c>
      <c r="K4" s="52" t="s">
        <v>131</v>
      </c>
      <c r="L4" s="52" t="s">
        <v>13</v>
      </c>
    </row>
    <row r="5" spans="1:12" ht="15" thickBot="1">
      <c r="A5" s="166"/>
      <c r="B5" s="166"/>
      <c r="C5" s="53" t="s">
        <v>20</v>
      </c>
      <c r="D5" s="53" t="s">
        <v>88</v>
      </c>
      <c r="E5" s="53" t="s">
        <v>23</v>
      </c>
      <c r="F5" s="53" t="s">
        <v>21</v>
      </c>
      <c r="G5" s="53" t="s">
        <v>21</v>
      </c>
      <c r="H5" s="53" t="s">
        <v>21</v>
      </c>
      <c r="I5" s="53" t="s">
        <v>21</v>
      </c>
      <c r="J5" s="53" t="s">
        <v>21</v>
      </c>
      <c r="K5" s="53" t="s">
        <v>21</v>
      </c>
      <c r="L5" s="53" t="s">
        <v>21</v>
      </c>
    </row>
    <row r="6" spans="1:12" ht="19.5" customHeight="1" thickTop="1">
      <c r="A6" s="50" t="s">
        <v>4</v>
      </c>
      <c r="B6" s="51">
        <v>0.75</v>
      </c>
      <c r="C6" s="49">
        <v>10</v>
      </c>
      <c r="D6" s="49">
        <v>800</v>
      </c>
      <c r="E6" s="49">
        <f>C6*D6*B6</f>
        <v>6000</v>
      </c>
      <c r="F6" s="49">
        <v>0</v>
      </c>
      <c r="G6" s="49">
        <v>15000</v>
      </c>
      <c r="H6" s="49">
        <f>125000*B6</f>
        <v>93750</v>
      </c>
      <c r="I6" s="49">
        <v>25000</v>
      </c>
      <c r="J6" s="49">
        <v>20000</v>
      </c>
      <c r="K6" s="49">
        <v>15000</v>
      </c>
      <c r="L6" s="49">
        <f>E6+G6+H6+I6+J6+K6</f>
        <v>174750</v>
      </c>
    </row>
    <row r="7" spans="1:12" ht="19.5" customHeight="1">
      <c r="A7" s="50" t="s">
        <v>5</v>
      </c>
      <c r="B7" s="51">
        <v>0.75</v>
      </c>
      <c r="C7" s="49">
        <v>50</v>
      </c>
      <c r="D7" s="49">
        <v>2500</v>
      </c>
      <c r="E7" s="49">
        <f>C7*D7*B7</f>
        <v>93750</v>
      </c>
      <c r="F7" s="49">
        <v>0</v>
      </c>
      <c r="G7" s="49">
        <v>15000</v>
      </c>
      <c r="H7" s="49">
        <f>125000*B7</f>
        <v>93750</v>
      </c>
      <c r="I7" s="49">
        <v>25000</v>
      </c>
      <c r="J7" s="49">
        <v>20000</v>
      </c>
      <c r="K7" s="49">
        <v>15000</v>
      </c>
      <c r="L7" s="49">
        <f>E7+G7+H7+I7+J7+K7</f>
        <v>262500</v>
      </c>
    </row>
    <row r="8" spans="1:12" ht="19.5" customHeight="1">
      <c r="A8" s="50" t="s">
        <v>133</v>
      </c>
      <c r="B8" s="51">
        <v>0.75</v>
      </c>
      <c r="C8" s="49">
        <v>4</v>
      </c>
      <c r="D8" s="49">
        <v>5000</v>
      </c>
      <c r="E8" s="49">
        <f>C8*D8*B8</f>
        <v>15000</v>
      </c>
      <c r="F8" s="49">
        <v>0</v>
      </c>
      <c r="G8" s="49">
        <v>30000</v>
      </c>
      <c r="H8" s="49">
        <f>108000*B8</f>
        <v>81000</v>
      </c>
      <c r="I8" s="49">
        <v>50000</v>
      </c>
      <c r="J8" s="49">
        <v>50000</v>
      </c>
      <c r="K8" s="49">
        <v>30000</v>
      </c>
      <c r="L8" s="49">
        <f>E8+G8+H8+I8+J8+K8</f>
        <v>256000</v>
      </c>
    </row>
    <row r="9" spans="1:12" ht="19.5" customHeight="1">
      <c r="A9" s="54" t="s">
        <v>7</v>
      </c>
      <c r="B9" s="55">
        <v>0.75</v>
      </c>
      <c r="C9" s="56">
        <v>20</v>
      </c>
      <c r="D9" s="56">
        <v>1500</v>
      </c>
      <c r="E9" s="56">
        <f>C9*D9*B9</f>
        <v>22500</v>
      </c>
      <c r="F9" s="56">
        <v>0</v>
      </c>
      <c r="G9" s="56">
        <v>21000</v>
      </c>
      <c r="H9" s="56">
        <f>150000*B9</f>
        <v>112500</v>
      </c>
      <c r="I9" s="56">
        <v>0</v>
      </c>
      <c r="J9" s="56">
        <v>40000</v>
      </c>
      <c r="K9" s="56">
        <v>0</v>
      </c>
      <c r="L9" s="56">
        <f>E9+G9+H9+I9+J9+K9</f>
        <v>196000</v>
      </c>
    </row>
    <row r="10" spans="1:12" ht="14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2" ht="14.25">
      <c r="D12" t="s">
        <v>2</v>
      </c>
    </row>
    <row r="13" ht="14.25">
      <c r="D13" t="s">
        <v>2</v>
      </c>
    </row>
    <row r="14" ht="14.25">
      <c r="D14" t="s">
        <v>2</v>
      </c>
    </row>
  </sheetData>
  <sheetProtection/>
  <mergeCells count="3">
    <mergeCell ref="B4:B5"/>
    <mergeCell ref="A4:A5"/>
    <mergeCell ref="C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2.8515625" style="1" customWidth="1"/>
    <col min="2" max="2" width="10.28125" style="1" customWidth="1"/>
    <col min="3" max="3" width="8.57421875" style="1" customWidth="1"/>
    <col min="4" max="4" width="8.8515625" style="1" customWidth="1"/>
    <col min="5" max="5" width="8.57421875" style="1" customWidth="1"/>
    <col min="6" max="6" width="8.421875" style="1" customWidth="1"/>
    <col min="7" max="9" width="8.00390625" style="1" bestFit="1" customWidth="1"/>
    <col min="10" max="19" width="7.00390625" style="1" bestFit="1" customWidth="1"/>
    <col min="20" max="16384" width="9.140625" style="1" customWidth="1"/>
  </cols>
  <sheetData>
    <row r="3" spans="2:19" ht="14.25">
      <c r="B3" s="168" t="s">
        <v>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4.25">
      <c r="A4" s="2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</row>
    <row r="5" spans="1:19" ht="14.25">
      <c r="A5" s="10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4.25">
      <c r="A6" s="2" t="s">
        <v>83</v>
      </c>
      <c r="B6" s="35">
        <f>'Расходы фисташки по годам'!B32</f>
        <v>16701839.2</v>
      </c>
      <c r="C6" s="2">
        <f>'Расходы фисташки по годам'!C32</f>
        <v>1091145</v>
      </c>
      <c r="D6" s="2">
        <f>'Расходы фисташки по годам'!D32</f>
        <v>1874545</v>
      </c>
      <c r="E6" s="2">
        <f>'Расходы фисташки по годам'!E32</f>
        <v>874545</v>
      </c>
      <c r="F6" s="2">
        <f>'Расходы фисташки по годам'!F32</f>
        <v>874545</v>
      </c>
      <c r="G6" s="2">
        <f>'Расходы фисташки по годам'!G32</f>
        <v>874545</v>
      </c>
      <c r="H6" s="2">
        <f>'Расходы фисташки по годам'!H32</f>
        <v>874545</v>
      </c>
      <c r="I6" s="2">
        <f>'Расходы фисташки по годам'!I32</f>
        <v>874545</v>
      </c>
      <c r="J6" s="2">
        <f>'Расходы фисташки по годам'!J32</f>
        <v>874545</v>
      </c>
      <c r="K6" s="2">
        <f>'Расходы фисташки по годам'!K32</f>
        <v>874545</v>
      </c>
      <c r="L6" s="2">
        <f>'Расходы фисташки по годам'!L32</f>
        <v>919545</v>
      </c>
      <c r="M6" s="2">
        <f>'Расходы фисташки по годам'!M32</f>
        <v>919545</v>
      </c>
      <c r="N6" s="2">
        <f>'Расходы фисташки по годам'!N32</f>
        <v>934545</v>
      </c>
      <c r="O6" s="2">
        <f>'Расходы фисташки по годам'!O32</f>
        <v>949545</v>
      </c>
      <c r="P6" s="2">
        <f>'Расходы фисташки по годам'!P32</f>
        <v>874545</v>
      </c>
      <c r="Q6" s="2">
        <f>'Расходы фисташки по годам'!Q32</f>
        <v>946620</v>
      </c>
      <c r="R6" s="2">
        <f>'Расходы фисташки по годам'!R32</f>
        <v>946620</v>
      </c>
      <c r="S6" s="2">
        <f>'Расходы фисташки по годам'!S32</f>
        <v>1435395</v>
      </c>
    </row>
    <row r="7" spans="1:19" ht="14.25">
      <c r="A7" s="2" t="s">
        <v>26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4.25">
      <c r="A8" s="2" t="s">
        <v>4</v>
      </c>
      <c r="B8" s="2">
        <f>'культуры междурядье'!L6</f>
        <v>174750</v>
      </c>
      <c r="C8" s="2">
        <f>B8</f>
        <v>174750</v>
      </c>
      <c r="D8" s="2">
        <f aca="true" t="shared" si="0" ref="D8:K8">C8</f>
        <v>174750</v>
      </c>
      <c r="E8" s="2">
        <f t="shared" si="0"/>
        <v>174750</v>
      </c>
      <c r="F8" s="2">
        <f t="shared" si="0"/>
        <v>174750</v>
      </c>
      <c r="G8" s="2">
        <f t="shared" si="0"/>
        <v>174750</v>
      </c>
      <c r="H8" s="2">
        <f t="shared" si="0"/>
        <v>174750</v>
      </c>
      <c r="I8" s="2">
        <f t="shared" si="0"/>
        <v>174750</v>
      </c>
      <c r="J8" s="2">
        <f t="shared" si="0"/>
        <v>174750</v>
      </c>
      <c r="K8" s="2">
        <f t="shared" si="0"/>
        <v>174750</v>
      </c>
      <c r="L8" s="2"/>
      <c r="M8" s="2"/>
      <c r="N8" s="2"/>
      <c r="O8" s="2"/>
      <c r="P8" s="2"/>
      <c r="Q8" s="2"/>
      <c r="R8" s="2"/>
      <c r="S8" s="2"/>
    </row>
    <row r="9" spans="1:19" ht="14.25">
      <c r="A9" s="2" t="s">
        <v>5</v>
      </c>
      <c r="B9" s="2">
        <f>'культуры междурядье'!L7</f>
        <v>262500</v>
      </c>
      <c r="C9" s="2">
        <f>B9</f>
        <v>262500</v>
      </c>
      <c r="D9" s="2">
        <f aca="true" t="shared" si="1" ref="D9:K9">C9</f>
        <v>262500</v>
      </c>
      <c r="E9" s="2">
        <f t="shared" si="1"/>
        <v>262500</v>
      </c>
      <c r="F9" s="2">
        <f t="shared" si="1"/>
        <v>262500</v>
      </c>
      <c r="G9" s="2">
        <f t="shared" si="1"/>
        <v>262500</v>
      </c>
      <c r="H9" s="2">
        <f t="shared" si="1"/>
        <v>262500</v>
      </c>
      <c r="I9" s="2">
        <f t="shared" si="1"/>
        <v>262500</v>
      </c>
      <c r="J9" s="2">
        <f t="shared" si="1"/>
        <v>262500</v>
      </c>
      <c r="K9" s="2">
        <f t="shared" si="1"/>
        <v>262500</v>
      </c>
      <c r="L9" s="2"/>
      <c r="M9" s="2"/>
      <c r="N9" s="2"/>
      <c r="O9" s="2"/>
      <c r="P9" s="2"/>
      <c r="Q9" s="2"/>
      <c r="R9" s="2"/>
      <c r="S9" s="2"/>
    </row>
    <row r="10" spans="1:19" ht="14.25">
      <c r="A10" s="2" t="s">
        <v>6</v>
      </c>
      <c r="B10" s="2">
        <f>'культуры междурядье'!L8</f>
        <v>256000</v>
      </c>
      <c r="C10" s="2">
        <f>B10</f>
        <v>256000</v>
      </c>
      <c r="D10" s="2">
        <f aca="true" t="shared" si="2" ref="D10:K10">C10</f>
        <v>256000</v>
      </c>
      <c r="E10" s="2">
        <f t="shared" si="2"/>
        <v>256000</v>
      </c>
      <c r="F10" s="2">
        <f t="shared" si="2"/>
        <v>256000</v>
      </c>
      <c r="G10" s="2">
        <f t="shared" si="2"/>
        <v>256000</v>
      </c>
      <c r="H10" s="2">
        <f t="shared" si="2"/>
        <v>256000</v>
      </c>
      <c r="I10" s="2">
        <f t="shared" si="2"/>
        <v>256000</v>
      </c>
      <c r="J10" s="2">
        <f t="shared" si="2"/>
        <v>256000</v>
      </c>
      <c r="K10" s="2">
        <f t="shared" si="2"/>
        <v>256000</v>
      </c>
      <c r="L10" s="2"/>
      <c r="M10" s="2"/>
      <c r="N10" s="2"/>
      <c r="O10" s="2"/>
      <c r="P10" s="2"/>
      <c r="Q10" s="2"/>
      <c r="R10" s="2"/>
      <c r="S10" s="2"/>
    </row>
    <row r="11" spans="1:19" ht="14.25">
      <c r="A11" s="2" t="s">
        <v>7</v>
      </c>
      <c r="B11" s="2">
        <f>'культуры междурядье'!L9</f>
        <v>196000</v>
      </c>
      <c r="C11" s="2">
        <f>'культуры междурядье'!J9</f>
        <v>40000</v>
      </c>
      <c r="D11" s="2">
        <f aca="true" t="shared" si="3" ref="D11:K11">C11</f>
        <v>40000</v>
      </c>
      <c r="E11" s="2">
        <f t="shared" si="3"/>
        <v>40000</v>
      </c>
      <c r="F11" s="2">
        <f t="shared" si="3"/>
        <v>40000</v>
      </c>
      <c r="G11" s="2">
        <f>B11</f>
        <v>196000</v>
      </c>
      <c r="H11" s="2">
        <f>C11</f>
        <v>40000</v>
      </c>
      <c r="I11" s="2">
        <f t="shared" si="3"/>
        <v>40000</v>
      </c>
      <c r="J11" s="2">
        <f t="shared" si="3"/>
        <v>40000</v>
      </c>
      <c r="K11" s="2">
        <f t="shared" si="3"/>
        <v>40000</v>
      </c>
      <c r="L11" s="2"/>
      <c r="M11" s="2"/>
      <c r="N11" s="2"/>
      <c r="O11" s="2"/>
      <c r="P11" s="2"/>
      <c r="Q11" s="2"/>
      <c r="R11" s="2"/>
      <c r="S11" s="2"/>
    </row>
    <row r="12" spans="1:19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4.25">
      <c r="A13" s="10" t="s">
        <v>27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8.5">
      <c r="A14" s="11" t="s">
        <v>28</v>
      </c>
      <c r="B14" s="2">
        <f>B6+B8</f>
        <v>16876589.2</v>
      </c>
      <c r="C14" s="2">
        <f aca="true" t="shared" si="4" ref="C14:K14">C6+C8</f>
        <v>1265895</v>
      </c>
      <c r="D14" s="2">
        <f t="shared" si="4"/>
        <v>2049295</v>
      </c>
      <c r="E14" s="2">
        <f t="shared" si="4"/>
        <v>1049295</v>
      </c>
      <c r="F14" s="2">
        <f t="shared" si="4"/>
        <v>1049295</v>
      </c>
      <c r="G14" s="2">
        <f t="shared" si="4"/>
        <v>1049295</v>
      </c>
      <c r="H14" s="2">
        <f t="shared" si="4"/>
        <v>1049295</v>
      </c>
      <c r="I14" s="2">
        <f t="shared" si="4"/>
        <v>1049295</v>
      </c>
      <c r="J14" s="2">
        <f t="shared" si="4"/>
        <v>1049295</v>
      </c>
      <c r="K14" s="2">
        <f t="shared" si="4"/>
        <v>1049295</v>
      </c>
      <c r="L14" s="2"/>
      <c r="M14" s="2"/>
      <c r="N14" s="2"/>
      <c r="O14" s="2"/>
      <c r="P14" s="2"/>
      <c r="Q14" s="2"/>
      <c r="R14" s="2"/>
      <c r="S14" s="2"/>
    </row>
    <row r="15" spans="1:19" ht="28.5">
      <c r="A15" s="11" t="s">
        <v>29</v>
      </c>
      <c r="B15" s="2">
        <f>B6+B9</f>
        <v>16964339.2</v>
      </c>
      <c r="C15" s="2">
        <f aca="true" t="shared" si="5" ref="C15:K15">C6+C9</f>
        <v>1353645</v>
      </c>
      <c r="D15" s="2">
        <f t="shared" si="5"/>
        <v>2137045</v>
      </c>
      <c r="E15" s="2">
        <f t="shared" si="5"/>
        <v>1137045</v>
      </c>
      <c r="F15" s="2">
        <f t="shared" si="5"/>
        <v>1137045</v>
      </c>
      <c r="G15" s="2">
        <f t="shared" si="5"/>
        <v>1137045</v>
      </c>
      <c r="H15" s="2">
        <f t="shared" si="5"/>
        <v>1137045</v>
      </c>
      <c r="I15" s="2">
        <f t="shared" si="5"/>
        <v>1137045</v>
      </c>
      <c r="J15" s="2">
        <f t="shared" si="5"/>
        <v>1137045</v>
      </c>
      <c r="K15" s="2">
        <f t="shared" si="5"/>
        <v>1137045</v>
      </c>
      <c r="L15" s="2"/>
      <c r="M15" s="2"/>
      <c r="N15" s="2"/>
      <c r="O15" s="2"/>
      <c r="P15" s="2"/>
      <c r="Q15" s="2"/>
      <c r="R15" s="2"/>
      <c r="S15" s="2"/>
    </row>
    <row r="16" spans="1:19" ht="28.5">
      <c r="A16" s="11" t="s">
        <v>30</v>
      </c>
      <c r="B16" s="2">
        <f>B6+B10</f>
        <v>16957839.2</v>
      </c>
      <c r="C16" s="2">
        <f aca="true" t="shared" si="6" ref="C16:K16">C6+C10</f>
        <v>1347145</v>
      </c>
      <c r="D16" s="2">
        <f t="shared" si="6"/>
        <v>2130545</v>
      </c>
      <c r="E16" s="2">
        <f t="shared" si="6"/>
        <v>1130545</v>
      </c>
      <c r="F16" s="2">
        <f t="shared" si="6"/>
        <v>1130545</v>
      </c>
      <c r="G16" s="2">
        <f t="shared" si="6"/>
        <v>1130545</v>
      </c>
      <c r="H16" s="2">
        <f t="shared" si="6"/>
        <v>1130545</v>
      </c>
      <c r="I16" s="2">
        <f t="shared" si="6"/>
        <v>1130545</v>
      </c>
      <c r="J16" s="2">
        <f t="shared" si="6"/>
        <v>1130545</v>
      </c>
      <c r="K16" s="2">
        <f t="shared" si="6"/>
        <v>1130545</v>
      </c>
      <c r="L16" s="2"/>
      <c r="M16" s="2"/>
      <c r="N16" s="2"/>
      <c r="O16" s="2"/>
      <c r="P16" s="2"/>
      <c r="Q16" s="2"/>
      <c r="R16" s="2"/>
      <c r="S16" s="2"/>
    </row>
    <row r="17" spans="1:19" ht="28.5">
      <c r="A17" s="11" t="s">
        <v>31</v>
      </c>
      <c r="B17" s="2">
        <f>B6+B11</f>
        <v>16897839.2</v>
      </c>
      <c r="C17" s="2">
        <f aca="true" t="shared" si="7" ref="C17:K17">C6+C11</f>
        <v>1131145</v>
      </c>
      <c r="D17" s="2">
        <f t="shared" si="7"/>
        <v>1914545</v>
      </c>
      <c r="E17" s="2">
        <f t="shared" si="7"/>
        <v>914545</v>
      </c>
      <c r="F17" s="2">
        <f t="shared" si="7"/>
        <v>914545</v>
      </c>
      <c r="G17" s="2">
        <f t="shared" si="7"/>
        <v>1070545</v>
      </c>
      <c r="H17" s="2">
        <f t="shared" si="7"/>
        <v>914545</v>
      </c>
      <c r="I17" s="2">
        <f t="shared" si="7"/>
        <v>914545</v>
      </c>
      <c r="J17" s="2">
        <f t="shared" si="7"/>
        <v>914545</v>
      </c>
      <c r="K17" s="2">
        <f t="shared" si="7"/>
        <v>914545</v>
      </c>
      <c r="L17" s="2"/>
      <c r="M17" s="2"/>
      <c r="N17" s="2"/>
      <c r="O17" s="2"/>
      <c r="P17" s="2"/>
      <c r="Q17" s="2"/>
      <c r="R17" s="2"/>
      <c r="S17" s="2"/>
    </row>
  </sheetData>
  <sheetProtection/>
  <mergeCells count="1">
    <mergeCell ref="B3:S3"/>
  </mergeCells>
  <printOptions/>
  <pageMargins left="0.24" right="0.16" top="0.53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4"/>
  <sheetViews>
    <sheetView tabSelected="1" zoomScale="70" zoomScaleNormal="70" zoomScalePageLayoutView="0" workbookViewId="0" topLeftCell="A202">
      <selection activeCell="J209" sqref="J209"/>
    </sheetView>
  </sheetViews>
  <sheetFormatPr defaultColWidth="9.140625" defaultRowHeight="15"/>
  <cols>
    <col min="1" max="1" width="4.28125" style="12" customWidth="1"/>
    <col min="2" max="2" width="35.7109375" style="12" customWidth="1"/>
    <col min="3" max="6" width="7.8515625" style="12" bestFit="1" customWidth="1"/>
    <col min="7" max="7" width="10.8515625" style="12" bestFit="1" customWidth="1"/>
    <col min="8" max="11" width="7.8515625" style="12" bestFit="1" customWidth="1"/>
    <col min="12" max="14" width="8.140625" style="12" bestFit="1" customWidth="1"/>
    <col min="15" max="15" width="7.8515625" style="12" bestFit="1" customWidth="1"/>
    <col min="16" max="17" width="8.140625" style="12" bestFit="1" customWidth="1"/>
    <col min="18" max="18" width="7.8515625" style="12" bestFit="1" customWidth="1"/>
    <col min="19" max="20" width="8.140625" style="12" bestFit="1" customWidth="1"/>
    <col min="21" max="21" width="10.28125" style="12" customWidth="1"/>
    <col min="22" max="16384" width="9.140625" style="12" customWidth="1"/>
  </cols>
  <sheetData>
    <row r="1" ht="15">
      <c r="B1" s="145" t="s">
        <v>66</v>
      </c>
    </row>
    <row r="3" ht="13.5">
      <c r="B3" s="12" t="s">
        <v>85</v>
      </c>
    </row>
    <row r="4" spans="2:7" ht="13.5">
      <c r="B4" s="58" t="s">
        <v>32</v>
      </c>
      <c r="C4" s="59"/>
      <c r="D4" s="59"/>
      <c r="E4" s="59"/>
      <c r="F4" s="60"/>
      <c r="G4" s="61">
        <v>1</v>
      </c>
    </row>
    <row r="5" spans="2:7" ht="13.5">
      <c r="B5" s="62" t="s">
        <v>0</v>
      </c>
      <c r="C5" s="33"/>
      <c r="D5" s="33"/>
      <c r="E5" s="33"/>
      <c r="F5" s="61">
        <v>6</v>
      </c>
      <c r="G5" s="61">
        <v>8</v>
      </c>
    </row>
    <row r="6" spans="2:7" ht="13.5">
      <c r="B6" s="62" t="s">
        <v>1</v>
      </c>
      <c r="C6" s="33"/>
      <c r="D6" s="33"/>
      <c r="E6" s="33"/>
      <c r="F6" s="63"/>
      <c r="G6" s="64">
        <f>10000/(F5*G5)</f>
        <v>208.33333333333334</v>
      </c>
    </row>
    <row r="7" spans="2:7" ht="13.5">
      <c r="B7" s="62" t="s">
        <v>174</v>
      </c>
      <c r="C7" s="33"/>
      <c r="D7" s="33"/>
      <c r="E7" s="33"/>
      <c r="F7" s="63"/>
      <c r="G7" s="64">
        <f>G6*85%</f>
        <v>177.08333333333334</v>
      </c>
    </row>
    <row r="8" spans="2:7" ht="13.5">
      <c r="B8" s="62" t="s">
        <v>175</v>
      </c>
      <c r="C8" s="33"/>
      <c r="D8" s="33"/>
      <c r="E8" s="33"/>
      <c r="F8" s="63"/>
      <c r="G8" s="65">
        <v>16000</v>
      </c>
    </row>
    <row r="9" spans="2:7" ht="13.5">
      <c r="B9" s="62" t="s">
        <v>176</v>
      </c>
      <c r="C9" s="33"/>
      <c r="D9" s="33"/>
      <c r="E9" s="33"/>
      <c r="F9" s="63"/>
      <c r="G9" s="65">
        <v>23000</v>
      </c>
    </row>
    <row r="10" spans="2:7" ht="13.5">
      <c r="B10" s="62" t="s">
        <v>177</v>
      </c>
      <c r="C10" s="33"/>
      <c r="D10" s="33"/>
      <c r="E10" s="33"/>
      <c r="F10" s="63"/>
      <c r="G10" s="65">
        <v>26000</v>
      </c>
    </row>
    <row r="11" spans="2:7" ht="13.5">
      <c r="B11" s="62" t="s">
        <v>33</v>
      </c>
      <c r="C11" s="33"/>
      <c r="D11" s="33"/>
      <c r="E11" s="33"/>
      <c r="F11" s="63"/>
      <c r="G11" s="65">
        <v>700</v>
      </c>
    </row>
    <row r="12" spans="2:7" ht="13.5">
      <c r="B12" s="62" t="s">
        <v>34</v>
      </c>
      <c r="C12" s="33"/>
      <c r="D12" s="33"/>
      <c r="E12" s="33"/>
      <c r="F12" s="63"/>
      <c r="G12" s="65">
        <v>2000</v>
      </c>
    </row>
    <row r="13" spans="2:7" ht="13.5">
      <c r="B13" s="62" t="s">
        <v>178</v>
      </c>
      <c r="C13" s="33"/>
      <c r="D13" s="33"/>
      <c r="E13" s="33"/>
      <c r="F13" s="63"/>
      <c r="G13" s="66">
        <v>250</v>
      </c>
    </row>
    <row r="14" spans="2:7" ht="13.5">
      <c r="B14" s="62" t="s">
        <v>35</v>
      </c>
      <c r="C14" s="33"/>
      <c r="D14" s="33"/>
      <c r="E14" s="33"/>
      <c r="F14" s="63"/>
      <c r="G14" s="66">
        <v>100</v>
      </c>
    </row>
    <row r="15" spans="2:7" ht="13.5">
      <c r="B15" s="67" t="s">
        <v>36</v>
      </c>
      <c r="C15" s="68"/>
      <c r="D15" s="68"/>
      <c r="E15" s="68"/>
      <c r="F15" s="69"/>
      <c r="G15" s="66">
        <v>900</v>
      </c>
    </row>
    <row r="16" ht="13.5">
      <c r="G16" s="14"/>
    </row>
    <row r="18" spans="2:6" ht="13.5">
      <c r="B18" s="70" t="s">
        <v>102</v>
      </c>
      <c r="C18" s="71"/>
      <c r="D18" s="71"/>
      <c r="E18" s="71"/>
      <c r="F18" s="72">
        <v>0.09</v>
      </c>
    </row>
    <row r="19" spans="2:6" ht="13.5">
      <c r="B19" s="70" t="s">
        <v>179</v>
      </c>
      <c r="C19" s="71"/>
      <c r="D19" s="71"/>
      <c r="E19" s="71"/>
      <c r="F19" s="73">
        <v>0.14</v>
      </c>
    </row>
    <row r="20" spans="2:6" ht="13.5">
      <c r="B20" s="70" t="s">
        <v>180</v>
      </c>
      <c r="C20" s="71"/>
      <c r="D20" s="71"/>
      <c r="E20" s="71"/>
      <c r="F20" s="73">
        <v>0.2</v>
      </c>
    </row>
    <row r="21" ht="13.5">
      <c r="F21" s="15"/>
    </row>
    <row r="22" spans="2:6" ht="13.5">
      <c r="B22" s="12" t="s">
        <v>104</v>
      </c>
      <c r="F22" s="38">
        <f>F18</f>
        <v>0.09</v>
      </c>
    </row>
    <row r="23" spans="2:20" ht="13.5">
      <c r="B23" s="114" t="s">
        <v>2</v>
      </c>
      <c r="C23" s="115">
        <v>1</v>
      </c>
      <c r="D23" s="115">
        <v>2</v>
      </c>
      <c r="E23" s="115">
        <v>3</v>
      </c>
      <c r="F23" s="115">
        <v>4</v>
      </c>
      <c r="G23" s="115">
        <v>5</v>
      </c>
      <c r="H23" s="115">
        <v>6</v>
      </c>
      <c r="I23" s="115">
        <v>7</v>
      </c>
      <c r="J23" s="115">
        <v>8</v>
      </c>
      <c r="K23" s="115">
        <v>9</v>
      </c>
      <c r="L23" s="115">
        <v>10</v>
      </c>
      <c r="M23" s="115">
        <v>11</v>
      </c>
      <c r="N23" s="115">
        <v>12</v>
      </c>
      <c r="O23" s="115">
        <v>13</v>
      </c>
      <c r="P23" s="115">
        <v>14</v>
      </c>
      <c r="Q23" s="115">
        <v>15</v>
      </c>
      <c r="R23" s="115">
        <v>16</v>
      </c>
      <c r="S23" s="115">
        <v>17</v>
      </c>
      <c r="T23" s="115">
        <v>18</v>
      </c>
    </row>
    <row r="24" spans="2:20" ht="13.5">
      <c r="B24" s="59" t="s">
        <v>97</v>
      </c>
      <c r="C24" s="110">
        <v>16000</v>
      </c>
      <c r="D24" s="111">
        <f aca="true" t="shared" si="0" ref="D24:T24">$C$24*(1+$F$22*D23)</f>
        <v>18880</v>
      </c>
      <c r="E24" s="111">
        <f t="shared" si="0"/>
        <v>20320</v>
      </c>
      <c r="F24" s="111">
        <f t="shared" si="0"/>
        <v>21759.999999999996</v>
      </c>
      <c r="G24" s="111">
        <f t="shared" si="0"/>
        <v>23200</v>
      </c>
      <c r="H24" s="111">
        <f t="shared" si="0"/>
        <v>24640</v>
      </c>
      <c r="I24" s="111">
        <f t="shared" si="0"/>
        <v>26080</v>
      </c>
      <c r="J24" s="111">
        <f t="shared" si="0"/>
        <v>27520</v>
      </c>
      <c r="K24" s="111">
        <f t="shared" si="0"/>
        <v>28960</v>
      </c>
      <c r="L24" s="111">
        <f t="shared" si="0"/>
        <v>30400</v>
      </c>
      <c r="M24" s="111">
        <f t="shared" si="0"/>
        <v>31840</v>
      </c>
      <c r="N24" s="111">
        <f t="shared" si="0"/>
        <v>33280</v>
      </c>
      <c r="O24" s="111">
        <f t="shared" si="0"/>
        <v>34720</v>
      </c>
      <c r="P24" s="111">
        <f t="shared" si="0"/>
        <v>36160</v>
      </c>
      <c r="Q24" s="111">
        <f t="shared" si="0"/>
        <v>37599.99999999999</v>
      </c>
      <c r="R24" s="111">
        <f t="shared" si="0"/>
        <v>39040</v>
      </c>
      <c r="S24" s="111">
        <f t="shared" si="0"/>
        <v>40480.00000000001</v>
      </c>
      <c r="T24" s="111">
        <f t="shared" si="0"/>
        <v>41920</v>
      </c>
    </row>
    <row r="25" spans="2:20" ht="13.5">
      <c r="B25" s="107" t="s">
        <v>4</v>
      </c>
      <c r="C25" s="108">
        <v>700</v>
      </c>
      <c r="D25" s="105">
        <f aca="true" t="shared" si="1" ref="D25:L25">$C$25*(1+$F$22*D23)</f>
        <v>826</v>
      </c>
      <c r="E25" s="105">
        <f t="shared" si="1"/>
        <v>889</v>
      </c>
      <c r="F25" s="105">
        <f t="shared" si="1"/>
        <v>951.9999999999999</v>
      </c>
      <c r="G25" s="105">
        <f t="shared" si="1"/>
        <v>1015</v>
      </c>
      <c r="H25" s="105">
        <f t="shared" si="1"/>
        <v>1078</v>
      </c>
      <c r="I25" s="105">
        <f t="shared" si="1"/>
        <v>1141</v>
      </c>
      <c r="J25" s="105">
        <f t="shared" si="1"/>
        <v>1204</v>
      </c>
      <c r="K25" s="105">
        <f t="shared" si="1"/>
        <v>1267</v>
      </c>
      <c r="L25" s="105">
        <f t="shared" si="1"/>
        <v>1330</v>
      </c>
      <c r="M25" s="105"/>
      <c r="N25" s="105"/>
      <c r="O25" s="105"/>
      <c r="P25" s="105"/>
      <c r="Q25" s="105"/>
      <c r="R25" s="105"/>
      <c r="S25" s="105"/>
      <c r="T25" s="105"/>
    </row>
    <row r="26" spans="2:20" ht="13.5">
      <c r="B26" s="107" t="s">
        <v>5</v>
      </c>
      <c r="C26" s="108">
        <v>2000</v>
      </c>
      <c r="D26" s="105">
        <f aca="true" t="shared" si="2" ref="D26:L26">$C$26*(1+$F$22*D23)</f>
        <v>2360</v>
      </c>
      <c r="E26" s="105">
        <f t="shared" si="2"/>
        <v>2540</v>
      </c>
      <c r="F26" s="105">
        <f t="shared" si="2"/>
        <v>2719.9999999999995</v>
      </c>
      <c r="G26" s="105">
        <f t="shared" si="2"/>
        <v>2900</v>
      </c>
      <c r="H26" s="105">
        <f t="shared" si="2"/>
        <v>3080</v>
      </c>
      <c r="I26" s="105">
        <f t="shared" si="2"/>
        <v>3260</v>
      </c>
      <c r="J26" s="105">
        <f t="shared" si="2"/>
        <v>3440</v>
      </c>
      <c r="K26" s="105">
        <f t="shared" si="2"/>
        <v>3620</v>
      </c>
      <c r="L26" s="105">
        <f t="shared" si="2"/>
        <v>3800</v>
      </c>
      <c r="M26" s="105"/>
      <c r="N26" s="105"/>
      <c r="O26" s="105"/>
      <c r="P26" s="105"/>
      <c r="Q26" s="105"/>
      <c r="R26" s="105"/>
      <c r="S26" s="105"/>
      <c r="T26" s="105"/>
    </row>
    <row r="27" spans="2:20" ht="13.5">
      <c r="B27" s="107" t="s">
        <v>6</v>
      </c>
      <c r="C27" s="109">
        <v>250</v>
      </c>
      <c r="D27" s="105">
        <f aca="true" t="shared" si="3" ref="D27:L27">$C$27*(1+$F$22*D23)</f>
        <v>295</v>
      </c>
      <c r="E27" s="105">
        <f t="shared" si="3"/>
        <v>317.5</v>
      </c>
      <c r="F27" s="105">
        <f t="shared" si="3"/>
        <v>339.99999999999994</v>
      </c>
      <c r="G27" s="105">
        <f t="shared" si="3"/>
        <v>362.5</v>
      </c>
      <c r="H27" s="105">
        <f t="shared" si="3"/>
        <v>385</v>
      </c>
      <c r="I27" s="105">
        <f t="shared" si="3"/>
        <v>407.5</v>
      </c>
      <c r="J27" s="105">
        <f t="shared" si="3"/>
        <v>430</v>
      </c>
      <c r="K27" s="105">
        <f t="shared" si="3"/>
        <v>452.5</v>
      </c>
      <c r="L27" s="105">
        <f t="shared" si="3"/>
        <v>475</v>
      </c>
      <c r="M27" s="105"/>
      <c r="N27" s="105"/>
      <c r="O27" s="105"/>
      <c r="P27" s="105"/>
      <c r="Q27" s="105"/>
      <c r="R27" s="105"/>
      <c r="S27" s="105"/>
      <c r="T27" s="105"/>
    </row>
    <row r="28" spans="2:20" ht="13.5">
      <c r="B28" s="107" t="s">
        <v>7</v>
      </c>
      <c r="C28" s="108">
        <v>100</v>
      </c>
      <c r="D28" s="105">
        <f aca="true" t="shared" si="4" ref="D28:L28">$C$28*(1+$F$22*D23)</f>
        <v>118</v>
      </c>
      <c r="E28" s="105">
        <f t="shared" si="4"/>
        <v>127</v>
      </c>
      <c r="F28" s="105">
        <f t="shared" si="4"/>
        <v>136</v>
      </c>
      <c r="G28" s="105">
        <f t="shared" si="4"/>
        <v>145</v>
      </c>
      <c r="H28" s="105">
        <f t="shared" si="4"/>
        <v>154</v>
      </c>
      <c r="I28" s="105">
        <f t="shared" si="4"/>
        <v>163</v>
      </c>
      <c r="J28" s="105">
        <f t="shared" si="4"/>
        <v>172</v>
      </c>
      <c r="K28" s="105">
        <f t="shared" si="4"/>
        <v>181</v>
      </c>
      <c r="L28" s="105">
        <f t="shared" si="4"/>
        <v>190</v>
      </c>
      <c r="M28" s="105"/>
      <c r="N28" s="105"/>
      <c r="O28" s="105"/>
      <c r="P28" s="105"/>
      <c r="Q28" s="105"/>
      <c r="R28" s="105"/>
      <c r="S28" s="105"/>
      <c r="T28" s="105"/>
    </row>
    <row r="29" spans="2:20" ht="13.5">
      <c r="B29" s="68" t="s">
        <v>14</v>
      </c>
      <c r="C29" s="112">
        <v>900</v>
      </c>
      <c r="D29" s="113">
        <f aca="true" t="shared" si="5" ref="D29:T29">$C$29*(1+$F$22*D23)</f>
        <v>1062</v>
      </c>
      <c r="E29" s="113">
        <f t="shared" si="5"/>
        <v>1143</v>
      </c>
      <c r="F29" s="113">
        <f t="shared" si="5"/>
        <v>1224</v>
      </c>
      <c r="G29" s="113">
        <f t="shared" si="5"/>
        <v>1305</v>
      </c>
      <c r="H29" s="113">
        <f t="shared" si="5"/>
        <v>1386</v>
      </c>
      <c r="I29" s="113">
        <f t="shared" si="5"/>
        <v>1467</v>
      </c>
      <c r="J29" s="113">
        <f t="shared" si="5"/>
        <v>1548</v>
      </c>
      <c r="K29" s="113">
        <f t="shared" si="5"/>
        <v>1629</v>
      </c>
      <c r="L29" s="113">
        <f t="shared" si="5"/>
        <v>1710</v>
      </c>
      <c r="M29" s="113">
        <f t="shared" si="5"/>
        <v>1791</v>
      </c>
      <c r="N29" s="113">
        <f t="shared" si="5"/>
        <v>1872</v>
      </c>
      <c r="O29" s="113">
        <f t="shared" si="5"/>
        <v>1953</v>
      </c>
      <c r="P29" s="113">
        <f t="shared" si="5"/>
        <v>2033.9999999999998</v>
      </c>
      <c r="Q29" s="113">
        <f t="shared" si="5"/>
        <v>2114.9999999999995</v>
      </c>
      <c r="R29" s="113">
        <f t="shared" si="5"/>
        <v>2196</v>
      </c>
      <c r="S29" s="113">
        <f t="shared" si="5"/>
        <v>2277</v>
      </c>
      <c r="T29" s="113">
        <f t="shared" si="5"/>
        <v>2358</v>
      </c>
    </row>
    <row r="30" ht="13.5">
      <c r="F30" s="15"/>
    </row>
    <row r="31" spans="2:6" ht="13.5">
      <c r="B31" s="12" t="s">
        <v>135</v>
      </c>
      <c r="F31" s="38">
        <v>0.14</v>
      </c>
    </row>
    <row r="32" spans="2:20" ht="13.5">
      <c r="B32" s="114" t="s">
        <v>2</v>
      </c>
      <c r="C32" s="115">
        <v>1</v>
      </c>
      <c r="D32" s="115">
        <v>2</v>
      </c>
      <c r="E32" s="115">
        <v>3</v>
      </c>
      <c r="F32" s="115">
        <v>4</v>
      </c>
      <c r="G32" s="115">
        <v>5</v>
      </c>
      <c r="H32" s="115">
        <v>6</v>
      </c>
      <c r="I32" s="115">
        <v>7</v>
      </c>
      <c r="J32" s="115">
        <v>8</v>
      </c>
      <c r="K32" s="115">
        <v>9</v>
      </c>
      <c r="L32" s="115">
        <v>10</v>
      </c>
      <c r="M32" s="115">
        <v>11</v>
      </c>
      <c r="N32" s="115">
        <v>12</v>
      </c>
      <c r="O32" s="115">
        <v>13</v>
      </c>
      <c r="P32" s="115">
        <v>14</v>
      </c>
      <c r="Q32" s="115">
        <v>15</v>
      </c>
      <c r="R32" s="115">
        <v>16</v>
      </c>
      <c r="S32" s="115">
        <v>17</v>
      </c>
      <c r="T32" s="115">
        <v>18</v>
      </c>
    </row>
    <row r="33" spans="2:20" ht="13.5">
      <c r="B33" s="59" t="s">
        <v>97</v>
      </c>
      <c r="C33" s="110">
        <v>16000</v>
      </c>
      <c r="D33" s="110">
        <f aca="true" t="shared" si="6" ref="D33:T33">$C$33*(1+$F$31*D32)</f>
        <v>20480</v>
      </c>
      <c r="E33" s="110">
        <f t="shared" si="6"/>
        <v>22720</v>
      </c>
      <c r="F33" s="110">
        <f t="shared" si="6"/>
        <v>24960</v>
      </c>
      <c r="G33" s="110">
        <f t="shared" si="6"/>
        <v>27200.000000000004</v>
      </c>
      <c r="H33" s="110">
        <f t="shared" si="6"/>
        <v>29440</v>
      </c>
      <c r="I33" s="110">
        <f t="shared" si="6"/>
        <v>31680</v>
      </c>
      <c r="J33" s="110">
        <f t="shared" si="6"/>
        <v>33920</v>
      </c>
      <c r="K33" s="110">
        <f t="shared" si="6"/>
        <v>36160.00000000001</v>
      </c>
      <c r="L33" s="110">
        <f t="shared" si="6"/>
        <v>38400.00000000001</v>
      </c>
      <c r="M33" s="110">
        <f t="shared" si="6"/>
        <v>40640</v>
      </c>
      <c r="N33" s="110">
        <f t="shared" si="6"/>
        <v>42880</v>
      </c>
      <c r="O33" s="110">
        <f t="shared" si="6"/>
        <v>45120.00000000001</v>
      </c>
      <c r="P33" s="110">
        <f t="shared" si="6"/>
        <v>47360</v>
      </c>
      <c r="Q33" s="110">
        <f t="shared" si="6"/>
        <v>49600</v>
      </c>
      <c r="R33" s="110">
        <f t="shared" si="6"/>
        <v>51840</v>
      </c>
      <c r="S33" s="110">
        <f t="shared" si="6"/>
        <v>54080.00000000001</v>
      </c>
      <c r="T33" s="110">
        <f t="shared" si="6"/>
        <v>56320.00000000001</v>
      </c>
    </row>
    <row r="34" spans="2:20" ht="13.5">
      <c r="B34" s="107" t="s">
        <v>4</v>
      </c>
      <c r="C34" s="108">
        <v>700</v>
      </c>
      <c r="D34" s="105">
        <f aca="true" t="shared" si="7" ref="D34:L34">$C$34*(1+$F$31*D32)</f>
        <v>896</v>
      </c>
      <c r="E34" s="105">
        <f t="shared" si="7"/>
        <v>994</v>
      </c>
      <c r="F34" s="105">
        <f t="shared" si="7"/>
        <v>1092</v>
      </c>
      <c r="G34" s="105">
        <f t="shared" si="7"/>
        <v>1190.0000000000002</v>
      </c>
      <c r="H34" s="105">
        <f t="shared" si="7"/>
        <v>1288</v>
      </c>
      <c r="I34" s="105">
        <f t="shared" si="7"/>
        <v>1386</v>
      </c>
      <c r="J34" s="105">
        <f t="shared" si="7"/>
        <v>1484</v>
      </c>
      <c r="K34" s="105">
        <f t="shared" si="7"/>
        <v>1582.0000000000002</v>
      </c>
      <c r="L34" s="105">
        <f t="shared" si="7"/>
        <v>1680.0000000000002</v>
      </c>
      <c r="M34" s="105"/>
      <c r="N34" s="105"/>
      <c r="O34" s="105"/>
      <c r="P34" s="105"/>
      <c r="Q34" s="105"/>
      <c r="R34" s="105"/>
      <c r="S34" s="105"/>
      <c r="T34" s="105"/>
    </row>
    <row r="35" spans="2:20" ht="13.5">
      <c r="B35" s="107" t="s">
        <v>5</v>
      </c>
      <c r="C35" s="108">
        <v>2000</v>
      </c>
      <c r="D35" s="105">
        <f aca="true" t="shared" si="8" ref="D35:L35">$C$35*(1+$F$31*D32)</f>
        <v>2560</v>
      </c>
      <c r="E35" s="105">
        <f t="shared" si="8"/>
        <v>2840</v>
      </c>
      <c r="F35" s="105">
        <f t="shared" si="8"/>
        <v>3120</v>
      </c>
      <c r="G35" s="105">
        <f t="shared" si="8"/>
        <v>3400.0000000000005</v>
      </c>
      <c r="H35" s="105">
        <f t="shared" si="8"/>
        <v>3680</v>
      </c>
      <c r="I35" s="105">
        <f t="shared" si="8"/>
        <v>3960</v>
      </c>
      <c r="J35" s="105">
        <f t="shared" si="8"/>
        <v>4240</v>
      </c>
      <c r="K35" s="105">
        <f t="shared" si="8"/>
        <v>4520.000000000001</v>
      </c>
      <c r="L35" s="105">
        <f t="shared" si="8"/>
        <v>4800.000000000001</v>
      </c>
      <c r="M35" s="105"/>
      <c r="N35" s="105"/>
      <c r="O35" s="105"/>
      <c r="P35" s="105"/>
      <c r="Q35" s="105"/>
      <c r="R35" s="105"/>
      <c r="S35" s="105"/>
      <c r="T35" s="105"/>
    </row>
    <row r="36" spans="2:20" ht="13.5">
      <c r="B36" s="107" t="s">
        <v>6</v>
      </c>
      <c r="C36" s="109">
        <v>250</v>
      </c>
      <c r="D36" s="105">
        <f aca="true" t="shared" si="9" ref="D36:L36">$C$36*(1+$F$31*D32)</f>
        <v>320</v>
      </c>
      <c r="E36" s="105">
        <f t="shared" si="9"/>
        <v>355</v>
      </c>
      <c r="F36" s="105">
        <f t="shared" si="9"/>
        <v>390</v>
      </c>
      <c r="G36" s="105">
        <f t="shared" si="9"/>
        <v>425.00000000000006</v>
      </c>
      <c r="H36" s="105">
        <f t="shared" si="9"/>
        <v>460</v>
      </c>
      <c r="I36" s="105">
        <f t="shared" si="9"/>
        <v>495</v>
      </c>
      <c r="J36" s="105">
        <f t="shared" si="9"/>
        <v>530</v>
      </c>
      <c r="K36" s="105">
        <f t="shared" si="9"/>
        <v>565.0000000000001</v>
      </c>
      <c r="L36" s="105">
        <f t="shared" si="9"/>
        <v>600.0000000000001</v>
      </c>
      <c r="M36" s="105"/>
      <c r="N36" s="105"/>
      <c r="O36" s="105"/>
      <c r="P36" s="105"/>
      <c r="Q36" s="105"/>
      <c r="R36" s="105"/>
      <c r="S36" s="105"/>
      <c r="T36" s="105"/>
    </row>
    <row r="37" spans="2:20" ht="13.5">
      <c r="B37" s="107" t="s">
        <v>7</v>
      </c>
      <c r="C37" s="108">
        <v>100</v>
      </c>
      <c r="D37" s="105">
        <f aca="true" t="shared" si="10" ref="D37:L37">$C$37*(1+$F$31*D32)</f>
        <v>128</v>
      </c>
      <c r="E37" s="105">
        <f t="shared" si="10"/>
        <v>142</v>
      </c>
      <c r="F37" s="105">
        <f t="shared" si="10"/>
        <v>156</v>
      </c>
      <c r="G37" s="105">
        <f t="shared" si="10"/>
        <v>170.00000000000003</v>
      </c>
      <c r="H37" s="105">
        <f t="shared" si="10"/>
        <v>184</v>
      </c>
      <c r="I37" s="105">
        <f t="shared" si="10"/>
        <v>198</v>
      </c>
      <c r="J37" s="105">
        <f t="shared" si="10"/>
        <v>212</v>
      </c>
      <c r="K37" s="105">
        <f t="shared" si="10"/>
        <v>226.00000000000003</v>
      </c>
      <c r="L37" s="105">
        <f t="shared" si="10"/>
        <v>240.00000000000003</v>
      </c>
      <c r="M37" s="105"/>
      <c r="N37" s="105"/>
      <c r="O37" s="105"/>
      <c r="P37" s="105"/>
      <c r="Q37" s="105"/>
      <c r="R37" s="105"/>
      <c r="S37" s="105"/>
      <c r="T37" s="105"/>
    </row>
    <row r="38" spans="2:20" ht="13.5">
      <c r="B38" s="68" t="s">
        <v>14</v>
      </c>
      <c r="C38" s="112">
        <v>900</v>
      </c>
      <c r="D38" s="113">
        <f aca="true" t="shared" si="11" ref="D38:T38">$C$38*(1+$F$31*D32)</f>
        <v>1152</v>
      </c>
      <c r="E38" s="113">
        <f t="shared" si="11"/>
        <v>1278</v>
      </c>
      <c r="F38" s="113">
        <f t="shared" si="11"/>
        <v>1404</v>
      </c>
      <c r="G38" s="113">
        <f t="shared" si="11"/>
        <v>1530.0000000000002</v>
      </c>
      <c r="H38" s="113">
        <f t="shared" si="11"/>
        <v>1656</v>
      </c>
      <c r="I38" s="113">
        <f t="shared" si="11"/>
        <v>1782</v>
      </c>
      <c r="J38" s="113">
        <f t="shared" si="11"/>
        <v>1908</v>
      </c>
      <c r="K38" s="113">
        <f t="shared" si="11"/>
        <v>2034.0000000000002</v>
      </c>
      <c r="L38" s="113">
        <f t="shared" si="11"/>
        <v>2160.0000000000005</v>
      </c>
      <c r="M38" s="113">
        <f t="shared" si="11"/>
        <v>2286</v>
      </c>
      <c r="N38" s="113">
        <f t="shared" si="11"/>
        <v>2412</v>
      </c>
      <c r="O38" s="113">
        <f t="shared" si="11"/>
        <v>2538.0000000000005</v>
      </c>
      <c r="P38" s="113">
        <f t="shared" si="11"/>
        <v>2664</v>
      </c>
      <c r="Q38" s="113">
        <f t="shared" si="11"/>
        <v>2790</v>
      </c>
      <c r="R38" s="113">
        <f t="shared" si="11"/>
        <v>2916</v>
      </c>
      <c r="S38" s="113">
        <f t="shared" si="11"/>
        <v>3042.0000000000005</v>
      </c>
      <c r="T38" s="113">
        <f t="shared" si="11"/>
        <v>3168.0000000000005</v>
      </c>
    </row>
    <row r="39" ht="13.5">
      <c r="F39" s="15"/>
    </row>
    <row r="40" spans="2:6" ht="13.5">
      <c r="B40" s="12" t="s">
        <v>136</v>
      </c>
      <c r="F40" s="38">
        <v>0.2</v>
      </c>
    </row>
    <row r="41" spans="2:20" ht="13.5">
      <c r="B41" s="114" t="s">
        <v>2</v>
      </c>
      <c r="C41" s="115">
        <v>1</v>
      </c>
      <c r="D41" s="115">
        <v>2</v>
      </c>
      <c r="E41" s="115">
        <v>3</v>
      </c>
      <c r="F41" s="115">
        <v>4</v>
      </c>
      <c r="G41" s="115">
        <v>5</v>
      </c>
      <c r="H41" s="115">
        <v>6</v>
      </c>
      <c r="I41" s="115">
        <v>7</v>
      </c>
      <c r="J41" s="115">
        <v>8</v>
      </c>
      <c r="K41" s="115">
        <v>9</v>
      </c>
      <c r="L41" s="115">
        <v>10</v>
      </c>
      <c r="M41" s="115">
        <v>11</v>
      </c>
      <c r="N41" s="115">
        <v>12</v>
      </c>
      <c r="O41" s="115">
        <v>13</v>
      </c>
      <c r="P41" s="115">
        <v>14</v>
      </c>
      <c r="Q41" s="115">
        <v>15</v>
      </c>
      <c r="R41" s="115">
        <v>16</v>
      </c>
      <c r="S41" s="115">
        <v>17</v>
      </c>
      <c r="T41" s="115">
        <v>18</v>
      </c>
    </row>
    <row r="42" spans="2:20" ht="13.5">
      <c r="B42" s="59" t="s">
        <v>97</v>
      </c>
      <c r="C42" s="110">
        <v>16000</v>
      </c>
      <c r="D42" s="110">
        <f aca="true" t="shared" si="12" ref="D42:T42">$C$42*(1+$F$40*D41)</f>
        <v>22400</v>
      </c>
      <c r="E42" s="110">
        <f t="shared" si="12"/>
        <v>25600</v>
      </c>
      <c r="F42" s="110">
        <f t="shared" si="12"/>
        <v>28800</v>
      </c>
      <c r="G42" s="110">
        <f t="shared" si="12"/>
        <v>32000</v>
      </c>
      <c r="H42" s="110">
        <f t="shared" si="12"/>
        <v>35200</v>
      </c>
      <c r="I42" s="110">
        <f t="shared" si="12"/>
        <v>38400.00000000001</v>
      </c>
      <c r="J42" s="110">
        <f t="shared" si="12"/>
        <v>41600</v>
      </c>
      <c r="K42" s="110">
        <f t="shared" si="12"/>
        <v>44800</v>
      </c>
      <c r="L42" s="110">
        <f t="shared" si="12"/>
        <v>48000</v>
      </c>
      <c r="M42" s="110">
        <f t="shared" si="12"/>
        <v>51200</v>
      </c>
      <c r="N42" s="110">
        <f t="shared" si="12"/>
        <v>54400.00000000001</v>
      </c>
      <c r="O42" s="110">
        <f t="shared" si="12"/>
        <v>57600</v>
      </c>
      <c r="P42" s="110">
        <f t="shared" si="12"/>
        <v>60800.00000000001</v>
      </c>
      <c r="Q42" s="110">
        <f t="shared" si="12"/>
        <v>64000</v>
      </c>
      <c r="R42" s="110">
        <f t="shared" si="12"/>
        <v>67200</v>
      </c>
      <c r="S42" s="110">
        <f t="shared" si="12"/>
        <v>70400</v>
      </c>
      <c r="T42" s="110">
        <f t="shared" si="12"/>
        <v>73600</v>
      </c>
    </row>
    <row r="43" spans="2:20" ht="13.5">
      <c r="B43" s="107" t="s">
        <v>4</v>
      </c>
      <c r="C43" s="108">
        <v>700</v>
      </c>
      <c r="D43" s="105">
        <f aca="true" t="shared" si="13" ref="D43:L43">$C$43*(1+$F$40*D41)</f>
        <v>979.9999999999999</v>
      </c>
      <c r="E43" s="105">
        <f t="shared" si="13"/>
        <v>1120</v>
      </c>
      <c r="F43" s="105">
        <f t="shared" si="13"/>
        <v>1260</v>
      </c>
      <c r="G43" s="105">
        <f t="shared" si="13"/>
        <v>1400</v>
      </c>
      <c r="H43" s="105">
        <f t="shared" si="13"/>
        <v>1540.0000000000002</v>
      </c>
      <c r="I43" s="105">
        <f t="shared" si="13"/>
        <v>1680.0000000000002</v>
      </c>
      <c r="J43" s="105">
        <f t="shared" si="13"/>
        <v>1820</v>
      </c>
      <c r="K43" s="105">
        <f t="shared" si="13"/>
        <v>1959.9999999999998</v>
      </c>
      <c r="L43" s="105">
        <f t="shared" si="13"/>
        <v>2100</v>
      </c>
      <c r="M43" s="105"/>
      <c r="N43" s="105"/>
      <c r="O43" s="105"/>
      <c r="P43" s="105"/>
      <c r="Q43" s="105"/>
      <c r="R43" s="105"/>
      <c r="S43" s="105"/>
      <c r="T43" s="105"/>
    </row>
    <row r="44" spans="2:20" ht="13.5">
      <c r="B44" s="107" t="s">
        <v>5</v>
      </c>
      <c r="C44" s="108">
        <v>2000</v>
      </c>
      <c r="D44" s="105">
        <f aca="true" t="shared" si="14" ref="D44:L44">$C$44*(1+$F$40*D41)</f>
        <v>2800</v>
      </c>
      <c r="E44" s="105">
        <f t="shared" si="14"/>
        <v>3200</v>
      </c>
      <c r="F44" s="105">
        <f t="shared" si="14"/>
        <v>3600</v>
      </c>
      <c r="G44" s="105">
        <f t="shared" si="14"/>
        <v>4000</v>
      </c>
      <c r="H44" s="105">
        <f t="shared" si="14"/>
        <v>4400</v>
      </c>
      <c r="I44" s="105">
        <f t="shared" si="14"/>
        <v>4800.000000000001</v>
      </c>
      <c r="J44" s="105">
        <f t="shared" si="14"/>
        <v>5200</v>
      </c>
      <c r="K44" s="105">
        <f t="shared" si="14"/>
        <v>5600</v>
      </c>
      <c r="L44" s="105">
        <f t="shared" si="14"/>
        <v>6000</v>
      </c>
      <c r="M44" s="105"/>
      <c r="N44" s="105"/>
      <c r="O44" s="105"/>
      <c r="P44" s="105"/>
      <c r="Q44" s="105"/>
      <c r="R44" s="105"/>
      <c r="S44" s="105"/>
      <c r="T44" s="105"/>
    </row>
    <row r="45" spans="2:20" ht="13.5">
      <c r="B45" s="107" t="s">
        <v>6</v>
      </c>
      <c r="C45" s="109">
        <v>250</v>
      </c>
      <c r="D45" s="105">
        <f aca="true" t="shared" si="15" ref="D45:L45">$C$45*(1+$F$40*D41)</f>
        <v>350</v>
      </c>
      <c r="E45" s="105">
        <f t="shared" si="15"/>
        <v>400</v>
      </c>
      <c r="F45" s="105">
        <f t="shared" si="15"/>
        <v>450</v>
      </c>
      <c r="G45" s="105">
        <f t="shared" si="15"/>
        <v>500</v>
      </c>
      <c r="H45" s="105">
        <f t="shared" si="15"/>
        <v>550</v>
      </c>
      <c r="I45" s="105">
        <f t="shared" si="15"/>
        <v>600.0000000000001</v>
      </c>
      <c r="J45" s="105">
        <f t="shared" si="15"/>
        <v>650</v>
      </c>
      <c r="K45" s="105">
        <f t="shared" si="15"/>
        <v>700</v>
      </c>
      <c r="L45" s="105">
        <f t="shared" si="15"/>
        <v>750</v>
      </c>
      <c r="M45" s="105"/>
      <c r="N45" s="105"/>
      <c r="O45" s="105"/>
      <c r="P45" s="105"/>
      <c r="Q45" s="105"/>
      <c r="R45" s="105"/>
      <c r="S45" s="105"/>
      <c r="T45" s="105"/>
    </row>
    <row r="46" spans="2:20" ht="13.5">
      <c r="B46" s="107" t="s">
        <v>7</v>
      </c>
      <c r="C46" s="108">
        <v>100</v>
      </c>
      <c r="D46" s="105">
        <f aca="true" t="shared" si="16" ref="D46:L46">$C$46*(1+$F$40*D41)</f>
        <v>140</v>
      </c>
      <c r="E46" s="105">
        <f t="shared" si="16"/>
        <v>160</v>
      </c>
      <c r="F46" s="105">
        <f t="shared" si="16"/>
        <v>180</v>
      </c>
      <c r="G46" s="105">
        <f t="shared" si="16"/>
        <v>200</v>
      </c>
      <c r="H46" s="105">
        <f t="shared" si="16"/>
        <v>220.00000000000003</v>
      </c>
      <c r="I46" s="105">
        <f t="shared" si="16"/>
        <v>240.00000000000003</v>
      </c>
      <c r="J46" s="105">
        <f t="shared" si="16"/>
        <v>260</v>
      </c>
      <c r="K46" s="105">
        <f t="shared" si="16"/>
        <v>280</v>
      </c>
      <c r="L46" s="105">
        <f t="shared" si="16"/>
        <v>300</v>
      </c>
      <c r="M46" s="105"/>
      <c r="N46" s="105"/>
      <c r="O46" s="105"/>
      <c r="P46" s="105"/>
      <c r="Q46" s="105"/>
      <c r="R46" s="105"/>
      <c r="S46" s="105"/>
      <c r="T46" s="105"/>
    </row>
    <row r="47" spans="2:20" ht="13.5">
      <c r="B47" s="68" t="s">
        <v>14</v>
      </c>
      <c r="C47" s="112">
        <v>900</v>
      </c>
      <c r="D47" s="113">
        <f aca="true" t="shared" si="17" ref="D47:T47">$C$47*(1+$F$40*D41)</f>
        <v>1260</v>
      </c>
      <c r="E47" s="113">
        <f t="shared" si="17"/>
        <v>1440</v>
      </c>
      <c r="F47" s="113">
        <f t="shared" si="17"/>
        <v>1620</v>
      </c>
      <c r="G47" s="113">
        <f t="shared" si="17"/>
        <v>1800</v>
      </c>
      <c r="H47" s="113">
        <f t="shared" si="17"/>
        <v>1980.0000000000002</v>
      </c>
      <c r="I47" s="113">
        <f t="shared" si="17"/>
        <v>2160.0000000000005</v>
      </c>
      <c r="J47" s="113">
        <f t="shared" si="17"/>
        <v>2340</v>
      </c>
      <c r="K47" s="113">
        <f t="shared" si="17"/>
        <v>2520</v>
      </c>
      <c r="L47" s="113">
        <f t="shared" si="17"/>
        <v>2700</v>
      </c>
      <c r="M47" s="113">
        <f t="shared" si="17"/>
        <v>2880</v>
      </c>
      <c r="N47" s="113">
        <f t="shared" si="17"/>
        <v>3060.0000000000005</v>
      </c>
      <c r="O47" s="113">
        <f t="shared" si="17"/>
        <v>3240</v>
      </c>
      <c r="P47" s="113">
        <f t="shared" si="17"/>
        <v>3420.0000000000005</v>
      </c>
      <c r="Q47" s="113">
        <f t="shared" si="17"/>
        <v>3600</v>
      </c>
      <c r="R47" s="113">
        <f t="shared" si="17"/>
        <v>3780</v>
      </c>
      <c r="S47" s="113">
        <f t="shared" si="17"/>
        <v>3960.0000000000005</v>
      </c>
      <c r="T47" s="113">
        <f t="shared" si="17"/>
        <v>4140</v>
      </c>
    </row>
    <row r="48" ht="13.5">
      <c r="F48" s="15"/>
    </row>
    <row r="49" ht="13.5">
      <c r="F49" s="15"/>
    </row>
    <row r="50" ht="13.5">
      <c r="F50" s="15"/>
    </row>
    <row r="51" ht="13.5">
      <c r="F51" s="15"/>
    </row>
    <row r="52" ht="13.5">
      <c r="B52" s="12" t="s">
        <v>86</v>
      </c>
    </row>
    <row r="53" spans="2:20" ht="13.5">
      <c r="B53" s="71" t="s">
        <v>22</v>
      </c>
      <c r="C53" s="119" t="s">
        <v>46</v>
      </c>
      <c r="D53" s="119" t="s">
        <v>47</v>
      </c>
      <c r="E53" s="119" t="s">
        <v>49</v>
      </c>
      <c r="F53" s="119" t="s">
        <v>50</v>
      </c>
      <c r="G53" s="119" t="s">
        <v>51</v>
      </c>
      <c r="H53" s="119" t="s">
        <v>52</v>
      </c>
      <c r="I53" s="119" t="s">
        <v>53</v>
      </c>
      <c r="J53" s="119" t="s">
        <v>54</v>
      </c>
      <c r="K53" s="119" t="s">
        <v>55</v>
      </c>
      <c r="L53" s="119" t="s">
        <v>56</v>
      </c>
      <c r="M53" s="119" t="s">
        <v>57</v>
      </c>
      <c r="N53" s="119" t="s">
        <v>58</v>
      </c>
      <c r="O53" s="119" t="s">
        <v>59</v>
      </c>
      <c r="P53" s="119" t="s">
        <v>60</v>
      </c>
      <c r="Q53" s="119" t="s">
        <v>61</v>
      </c>
      <c r="R53" s="119" t="s">
        <v>62</v>
      </c>
      <c r="S53" s="119" t="s">
        <v>63</v>
      </c>
      <c r="T53" s="119" t="s">
        <v>64</v>
      </c>
    </row>
    <row r="54" spans="2:20" ht="13.5">
      <c r="B54" s="59" t="s">
        <v>39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0.2</v>
      </c>
      <c r="J54" s="59">
        <v>0.4</v>
      </c>
      <c r="K54" s="59">
        <v>0.7</v>
      </c>
      <c r="L54" s="59">
        <v>1.2</v>
      </c>
      <c r="M54" s="59">
        <v>2.1</v>
      </c>
      <c r="N54" s="59">
        <v>2.8</v>
      </c>
      <c r="O54" s="59">
        <v>0.5</v>
      </c>
      <c r="P54" s="59">
        <v>3.8</v>
      </c>
      <c r="Q54" s="59">
        <v>4.5</v>
      </c>
      <c r="R54" s="59">
        <v>0.2</v>
      </c>
      <c r="S54" s="59">
        <v>5.8</v>
      </c>
      <c r="T54" s="59">
        <v>6</v>
      </c>
    </row>
    <row r="55" spans="2:20" ht="13.5">
      <c r="B55" s="68" t="s">
        <v>122</v>
      </c>
      <c r="C55" s="122">
        <f aca="true" t="shared" si="18" ref="C55:T55">C54*$G$7*$G$4</f>
        <v>0</v>
      </c>
      <c r="D55" s="122">
        <f t="shared" si="18"/>
        <v>0</v>
      </c>
      <c r="E55" s="122">
        <f t="shared" si="18"/>
        <v>0</v>
      </c>
      <c r="F55" s="122">
        <f t="shared" si="18"/>
        <v>0</v>
      </c>
      <c r="G55" s="122">
        <f t="shared" si="18"/>
        <v>0</v>
      </c>
      <c r="H55" s="122">
        <f t="shared" si="18"/>
        <v>0</v>
      </c>
      <c r="I55" s="122">
        <f t="shared" si="18"/>
        <v>35.41666666666667</v>
      </c>
      <c r="J55" s="122">
        <f t="shared" si="18"/>
        <v>70.83333333333334</v>
      </c>
      <c r="K55" s="122">
        <f t="shared" si="18"/>
        <v>123.95833333333333</v>
      </c>
      <c r="L55" s="122">
        <f t="shared" si="18"/>
        <v>212.5</v>
      </c>
      <c r="M55" s="122">
        <f t="shared" si="18"/>
        <v>371.87500000000006</v>
      </c>
      <c r="N55" s="122">
        <f t="shared" si="18"/>
        <v>495.8333333333333</v>
      </c>
      <c r="O55" s="122">
        <f t="shared" si="18"/>
        <v>88.54166666666667</v>
      </c>
      <c r="P55" s="122">
        <f t="shared" si="18"/>
        <v>672.9166666666666</v>
      </c>
      <c r="Q55" s="122">
        <f t="shared" si="18"/>
        <v>796.875</v>
      </c>
      <c r="R55" s="122">
        <f t="shared" si="18"/>
        <v>35.41666666666667</v>
      </c>
      <c r="S55" s="122">
        <f t="shared" si="18"/>
        <v>1027.0833333333333</v>
      </c>
      <c r="T55" s="122">
        <f t="shared" si="18"/>
        <v>1062.5</v>
      </c>
    </row>
    <row r="56" spans="2:20" ht="13.5">
      <c r="B56" s="107" t="s">
        <v>48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2:20" ht="13.5" customHeight="1">
      <c r="B57" s="120" t="s">
        <v>37</v>
      </c>
      <c r="C57" s="121">
        <v>0.75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2:20" ht="13.5">
      <c r="B58" s="33" t="s">
        <v>38</v>
      </c>
      <c r="C58" s="33">
        <v>400</v>
      </c>
      <c r="D58" s="33" t="s">
        <v>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2:20" ht="13.5">
      <c r="B59" s="33" t="s">
        <v>123</v>
      </c>
      <c r="C59" s="33">
        <f aca="true" t="shared" si="19" ref="C59:L59">$C$58*$C$57*$G$4</f>
        <v>300</v>
      </c>
      <c r="D59" s="33">
        <f t="shared" si="19"/>
        <v>300</v>
      </c>
      <c r="E59" s="33">
        <f t="shared" si="19"/>
        <v>300</v>
      </c>
      <c r="F59" s="33">
        <f t="shared" si="19"/>
        <v>300</v>
      </c>
      <c r="G59" s="33">
        <f t="shared" si="19"/>
        <v>300</v>
      </c>
      <c r="H59" s="33">
        <f t="shared" si="19"/>
        <v>300</v>
      </c>
      <c r="I59" s="33">
        <f t="shared" si="19"/>
        <v>300</v>
      </c>
      <c r="J59" s="33">
        <f t="shared" si="19"/>
        <v>300</v>
      </c>
      <c r="K59" s="33">
        <f t="shared" si="19"/>
        <v>300</v>
      </c>
      <c r="L59" s="33">
        <f t="shared" si="19"/>
        <v>300</v>
      </c>
      <c r="M59" s="33"/>
      <c r="N59" s="33"/>
      <c r="O59" s="33"/>
      <c r="P59" s="33"/>
      <c r="Q59" s="33"/>
      <c r="R59" s="33"/>
      <c r="S59" s="33"/>
      <c r="T59" s="33"/>
    </row>
    <row r="60" spans="2:20" ht="13.5">
      <c r="B60" s="33" t="s">
        <v>40</v>
      </c>
      <c r="C60" s="33">
        <v>300</v>
      </c>
      <c r="D60" s="33" t="s">
        <v>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2:20" ht="13.5">
      <c r="B61" s="33" t="s">
        <v>124</v>
      </c>
      <c r="C61" s="33">
        <f aca="true" t="shared" si="20" ref="C61:L61">$C$57*$C$60*$G$4</f>
        <v>225</v>
      </c>
      <c r="D61" s="33">
        <f t="shared" si="20"/>
        <v>225</v>
      </c>
      <c r="E61" s="33">
        <f t="shared" si="20"/>
        <v>225</v>
      </c>
      <c r="F61" s="33">
        <f t="shared" si="20"/>
        <v>225</v>
      </c>
      <c r="G61" s="33">
        <f t="shared" si="20"/>
        <v>225</v>
      </c>
      <c r="H61" s="33">
        <f t="shared" si="20"/>
        <v>225</v>
      </c>
      <c r="I61" s="33">
        <f t="shared" si="20"/>
        <v>225</v>
      </c>
      <c r="J61" s="33">
        <f t="shared" si="20"/>
        <v>225</v>
      </c>
      <c r="K61" s="33">
        <f t="shared" si="20"/>
        <v>225</v>
      </c>
      <c r="L61" s="33">
        <f t="shared" si="20"/>
        <v>225</v>
      </c>
      <c r="M61" s="33"/>
      <c r="N61" s="33"/>
      <c r="O61" s="33"/>
      <c r="P61" s="33"/>
      <c r="Q61" s="33"/>
      <c r="R61" s="33"/>
      <c r="S61" s="33"/>
      <c r="T61" s="33"/>
    </row>
    <row r="62" spans="2:20" ht="13.5">
      <c r="B62" s="33" t="s">
        <v>41</v>
      </c>
      <c r="C62" s="33">
        <v>3000</v>
      </c>
      <c r="D62" s="33" t="s">
        <v>2</v>
      </c>
      <c r="E62" s="33" t="s">
        <v>2</v>
      </c>
      <c r="F62" s="33" t="s">
        <v>2</v>
      </c>
      <c r="G62" s="33" t="s">
        <v>2</v>
      </c>
      <c r="H62" s="33" t="s">
        <v>2</v>
      </c>
      <c r="I62" s="33" t="s">
        <v>2</v>
      </c>
      <c r="J62" s="33" t="s">
        <v>2</v>
      </c>
      <c r="K62" s="33" t="s">
        <v>2</v>
      </c>
      <c r="L62" s="33" t="s">
        <v>2</v>
      </c>
      <c r="M62" s="33"/>
      <c r="N62" s="33"/>
      <c r="O62" s="33"/>
      <c r="P62" s="33"/>
      <c r="Q62" s="33"/>
      <c r="R62" s="33"/>
      <c r="S62" s="33"/>
      <c r="T62" s="33"/>
    </row>
    <row r="63" spans="2:20" ht="13.5">
      <c r="B63" s="33" t="s">
        <v>125</v>
      </c>
      <c r="C63" s="33">
        <f aca="true" t="shared" si="21" ref="C63:L63">$C$57*$C$62*$G$4</f>
        <v>2250</v>
      </c>
      <c r="D63" s="33">
        <f t="shared" si="21"/>
        <v>2250</v>
      </c>
      <c r="E63" s="33">
        <f t="shared" si="21"/>
        <v>2250</v>
      </c>
      <c r="F63" s="33">
        <f t="shared" si="21"/>
        <v>2250</v>
      </c>
      <c r="G63" s="33">
        <f t="shared" si="21"/>
        <v>2250</v>
      </c>
      <c r="H63" s="33">
        <f t="shared" si="21"/>
        <v>2250</v>
      </c>
      <c r="I63" s="33">
        <f t="shared" si="21"/>
        <v>2250</v>
      </c>
      <c r="J63" s="33">
        <f t="shared" si="21"/>
        <v>2250</v>
      </c>
      <c r="K63" s="33">
        <f t="shared" si="21"/>
        <v>2250</v>
      </c>
      <c r="L63" s="33">
        <f t="shared" si="21"/>
        <v>2250</v>
      </c>
      <c r="M63" s="33"/>
      <c r="N63" s="33"/>
      <c r="O63" s="33"/>
      <c r="P63" s="33"/>
      <c r="Q63" s="33"/>
      <c r="R63" s="33"/>
      <c r="S63" s="33"/>
      <c r="T63" s="33"/>
    </row>
    <row r="64" spans="2:20" ht="13.5">
      <c r="B64" s="33" t="s">
        <v>42</v>
      </c>
      <c r="C64" s="33">
        <v>5000</v>
      </c>
      <c r="D64" s="33" t="s">
        <v>2</v>
      </c>
      <c r="E64" s="33" t="s">
        <v>2</v>
      </c>
      <c r="F64" s="33" t="s">
        <v>2</v>
      </c>
      <c r="G64" s="33" t="s">
        <v>2</v>
      </c>
      <c r="H64" s="33" t="s">
        <v>2</v>
      </c>
      <c r="I64" s="33" t="s">
        <v>2</v>
      </c>
      <c r="J64" s="33" t="s">
        <v>2</v>
      </c>
      <c r="K64" s="33" t="s">
        <v>2</v>
      </c>
      <c r="L64" s="33" t="s">
        <v>2</v>
      </c>
      <c r="M64" s="33"/>
      <c r="N64" s="33"/>
      <c r="O64" s="33"/>
      <c r="P64" s="33"/>
      <c r="Q64" s="33"/>
      <c r="R64" s="33"/>
      <c r="S64" s="33"/>
      <c r="T64" s="33"/>
    </row>
    <row r="65" spans="2:20" ht="13.5">
      <c r="B65" s="33" t="s">
        <v>126</v>
      </c>
      <c r="C65" s="33">
        <f aca="true" t="shared" si="22" ref="C65:L65">$C$57*$C$64*$G$4</f>
        <v>3750</v>
      </c>
      <c r="D65" s="33">
        <f t="shared" si="22"/>
        <v>3750</v>
      </c>
      <c r="E65" s="33">
        <f t="shared" si="22"/>
        <v>3750</v>
      </c>
      <c r="F65" s="33">
        <f t="shared" si="22"/>
        <v>3750</v>
      </c>
      <c r="G65" s="33">
        <f t="shared" si="22"/>
        <v>3750</v>
      </c>
      <c r="H65" s="33">
        <f t="shared" si="22"/>
        <v>3750</v>
      </c>
      <c r="I65" s="33">
        <f t="shared" si="22"/>
        <v>3750</v>
      </c>
      <c r="J65" s="33">
        <f t="shared" si="22"/>
        <v>3750</v>
      </c>
      <c r="K65" s="33">
        <f t="shared" si="22"/>
        <v>3750</v>
      </c>
      <c r="L65" s="33">
        <f t="shared" si="22"/>
        <v>3750</v>
      </c>
      <c r="M65" s="33"/>
      <c r="N65" s="33"/>
      <c r="O65" s="33"/>
      <c r="P65" s="33"/>
      <c r="Q65" s="33"/>
      <c r="R65" s="33"/>
      <c r="S65" s="33"/>
      <c r="T65" s="33"/>
    </row>
    <row r="66" spans="2:20" ht="13.5">
      <c r="B66" s="33" t="s">
        <v>44</v>
      </c>
      <c r="C66" s="33">
        <v>400</v>
      </c>
      <c r="D66" s="33">
        <v>400</v>
      </c>
      <c r="E66" s="33">
        <v>400</v>
      </c>
      <c r="F66" s="33">
        <v>400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2:20" ht="13.5">
      <c r="B67" s="33" t="s">
        <v>43</v>
      </c>
      <c r="C67" s="33">
        <v>0</v>
      </c>
      <c r="D67" s="33">
        <v>0</v>
      </c>
      <c r="E67" s="33">
        <v>0</v>
      </c>
      <c r="F67" s="33">
        <v>3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2:20" ht="13.5">
      <c r="B68" s="68" t="s">
        <v>45</v>
      </c>
      <c r="C68" s="68">
        <v>0</v>
      </c>
      <c r="D68" s="68">
        <v>0</v>
      </c>
      <c r="E68" s="68">
        <v>0</v>
      </c>
      <c r="F68" s="68">
        <f>$F$66*$F$67*$G$4*0.4</f>
        <v>480</v>
      </c>
      <c r="G68" s="68">
        <f>$F$66*$F$67*$G$4*0.7</f>
        <v>840</v>
      </c>
      <c r="H68" s="68">
        <f>$F$66*$F$67*$G$4*0.9</f>
        <v>1080</v>
      </c>
      <c r="I68" s="68">
        <f aca="true" t="shared" si="23" ref="I68:T68">$F$66*$F$67*$G$4</f>
        <v>1200</v>
      </c>
      <c r="J68" s="68">
        <f t="shared" si="23"/>
        <v>1200</v>
      </c>
      <c r="K68" s="68">
        <f t="shared" si="23"/>
        <v>1200</v>
      </c>
      <c r="L68" s="68">
        <f t="shared" si="23"/>
        <v>1200</v>
      </c>
      <c r="M68" s="68">
        <f t="shared" si="23"/>
        <v>1200</v>
      </c>
      <c r="N68" s="68">
        <f t="shared" si="23"/>
        <v>1200</v>
      </c>
      <c r="O68" s="68">
        <f t="shared" si="23"/>
        <v>1200</v>
      </c>
      <c r="P68" s="68">
        <f t="shared" si="23"/>
        <v>1200</v>
      </c>
      <c r="Q68" s="68">
        <f t="shared" si="23"/>
        <v>1200</v>
      </c>
      <c r="R68" s="68">
        <f t="shared" si="23"/>
        <v>1200</v>
      </c>
      <c r="S68" s="68">
        <f t="shared" si="23"/>
        <v>1200</v>
      </c>
      <c r="T68" s="68">
        <f t="shared" si="23"/>
        <v>1200</v>
      </c>
    </row>
    <row r="69" spans="2:20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ht="13.5">
      <c r="C70" s="12" t="s">
        <v>2</v>
      </c>
    </row>
    <row r="71" spans="2:20" ht="13.5">
      <c r="B71" s="12" t="s">
        <v>121</v>
      </c>
      <c r="T71" s="12">
        <v>1000</v>
      </c>
    </row>
    <row r="72" spans="2:20" ht="21" customHeight="1">
      <c r="B72" s="119" t="s">
        <v>65</v>
      </c>
      <c r="C72" s="118">
        <v>1</v>
      </c>
      <c r="D72" s="118">
        <v>2</v>
      </c>
      <c r="E72" s="118">
        <v>3</v>
      </c>
      <c r="F72" s="118">
        <v>4</v>
      </c>
      <c r="G72" s="118">
        <v>5</v>
      </c>
      <c r="H72" s="118">
        <v>6</v>
      </c>
      <c r="I72" s="118">
        <v>7</v>
      </c>
      <c r="J72" s="118">
        <v>8</v>
      </c>
      <c r="K72" s="118">
        <v>9</v>
      </c>
      <c r="L72" s="118">
        <v>10</v>
      </c>
      <c r="M72" s="118">
        <v>11</v>
      </c>
      <c r="N72" s="118">
        <v>12</v>
      </c>
      <c r="O72" s="118">
        <v>13</v>
      </c>
      <c r="P72" s="118">
        <v>14</v>
      </c>
      <c r="Q72" s="118">
        <v>15</v>
      </c>
      <c r="R72" s="118">
        <v>16</v>
      </c>
      <c r="S72" s="118">
        <v>17</v>
      </c>
      <c r="T72" s="118">
        <v>18</v>
      </c>
    </row>
    <row r="73" spans="2:20" ht="0.75" customHeight="1" hidden="1">
      <c r="B73" s="123" t="s">
        <v>81</v>
      </c>
      <c r="C73" s="43">
        <f>C74+C75+C76+C77+C78</f>
        <v>0</v>
      </c>
      <c r="D73" s="43">
        <f aca="true" t="shared" si="24" ref="D73:T73">D74+D75+D76+D77+D78</f>
        <v>0</v>
      </c>
      <c r="E73" s="43">
        <f t="shared" si="24"/>
        <v>0</v>
      </c>
      <c r="F73" s="43">
        <f t="shared" si="24"/>
        <v>0</v>
      </c>
      <c r="G73" s="43">
        <f t="shared" si="24"/>
        <v>0</v>
      </c>
      <c r="H73" s="43">
        <f t="shared" si="24"/>
        <v>0</v>
      </c>
      <c r="I73" s="43">
        <f t="shared" si="24"/>
        <v>0</v>
      </c>
      <c r="J73" s="43">
        <f t="shared" si="24"/>
        <v>0</v>
      </c>
      <c r="K73" s="43">
        <f t="shared" si="24"/>
        <v>0</v>
      </c>
      <c r="L73" s="43">
        <f t="shared" si="24"/>
        <v>0</v>
      </c>
      <c r="M73" s="43">
        <f t="shared" si="24"/>
        <v>0</v>
      </c>
      <c r="N73" s="43">
        <f t="shared" si="24"/>
        <v>0</v>
      </c>
      <c r="O73" s="43">
        <f t="shared" si="24"/>
        <v>0</v>
      </c>
      <c r="P73" s="43">
        <f t="shared" si="24"/>
        <v>0</v>
      </c>
      <c r="Q73" s="43">
        <f t="shared" si="24"/>
        <v>0</v>
      </c>
      <c r="R73" s="43">
        <f t="shared" si="24"/>
        <v>0</v>
      </c>
      <c r="S73" s="43">
        <f t="shared" si="24"/>
        <v>0</v>
      </c>
      <c r="T73" s="43">
        <f t="shared" si="24"/>
        <v>0</v>
      </c>
    </row>
    <row r="74" spans="2:20" ht="13.5" hidden="1">
      <c r="B74" s="124" t="s">
        <v>9</v>
      </c>
      <c r="C74" s="124"/>
      <c r="D74" s="124">
        <f>'Расходы фисташки по годам'!C7/$T$71</f>
        <v>0</v>
      </c>
      <c r="E74" s="124">
        <f>'Расходы фисташки по годам'!D7/$T$71</f>
        <v>0</v>
      </c>
      <c r="F74" s="124">
        <f>'Расходы фисташки по годам'!E7/$T$71</f>
        <v>0</v>
      </c>
      <c r="G74" s="124">
        <f>'Расходы фисташки по годам'!F7/$T$71</f>
        <v>0</v>
      </c>
      <c r="H74" s="124">
        <f>'Расходы фисташки по годам'!G7/$T$71</f>
        <v>0</v>
      </c>
      <c r="I74" s="124">
        <f>'Расходы фисташки по годам'!H7/$T$71</f>
        <v>0</v>
      </c>
      <c r="J74" s="124">
        <f>'Расходы фисташки по годам'!I7/$T$71</f>
        <v>0</v>
      </c>
      <c r="K74" s="124">
        <f>'Расходы фисташки по годам'!J7/$T$71</f>
        <v>0</v>
      </c>
      <c r="L74" s="124">
        <f>'Расходы фисташки по годам'!K7/$T$71</f>
        <v>0</v>
      </c>
      <c r="M74" s="124">
        <f>'Расходы фисташки по годам'!L7/$T$71</f>
        <v>0</v>
      </c>
      <c r="N74" s="124">
        <f>'Расходы фисташки по годам'!M7/$T$71</f>
        <v>0</v>
      </c>
      <c r="O74" s="124">
        <f>'Расходы фисташки по годам'!N7/$T$71</f>
        <v>0</v>
      </c>
      <c r="P74" s="124">
        <f>'Расходы фисташки по годам'!O7/$T$71</f>
        <v>0</v>
      </c>
      <c r="Q74" s="124">
        <f>'Расходы фисташки по годам'!P7/$T$71</f>
        <v>0</v>
      </c>
      <c r="R74" s="124">
        <f>'Расходы фисташки по годам'!Q7/$T$71</f>
        <v>0</v>
      </c>
      <c r="S74" s="124">
        <f>'Расходы фисташки по годам'!R7/$T$71</f>
        <v>0</v>
      </c>
      <c r="T74" s="124">
        <f>'Расходы фисташки по годам'!S7/$T$71</f>
        <v>0</v>
      </c>
    </row>
    <row r="75" spans="2:20" ht="13.5" hidden="1">
      <c r="B75" s="124" t="s">
        <v>10</v>
      </c>
      <c r="C75" s="124"/>
      <c r="D75" s="124">
        <f>'Расходы фисташки по годам'!C8/$T$71</f>
        <v>0</v>
      </c>
      <c r="E75" s="124">
        <f>'Расходы фисташки по годам'!D8/$T$71</f>
        <v>0</v>
      </c>
      <c r="F75" s="124">
        <f>'Расходы фисташки по годам'!E8/$T$71</f>
        <v>0</v>
      </c>
      <c r="G75" s="124">
        <f>'Расходы фисташки по годам'!F8/$T$71</f>
        <v>0</v>
      </c>
      <c r="H75" s="124">
        <f>'Расходы фисташки по годам'!G8/$T$71</f>
        <v>0</v>
      </c>
      <c r="I75" s="124">
        <f>'Расходы фисташки по годам'!H8/$T$71</f>
        <v>0</v>
      </c>
      <c r="J75" s="124">
        <f>'Расходы фисташки по годам'!I8/$T$71</f>
        <v>0</v>
      </c>
      <c r="K75" s="124">
        <f>'Расходы фисташки по годам'!J8/$T$71</f>
        <v>0</v>
      </c>
      <c r="L75" s="124">
        <f>'Расходы фисташки по годам'!K8/$T$71</f>
        <v>0</v>
      </c>
      <c r="M75" s="124">
        <f>'Расходы фисташки по годам'!L8/$T$71</f>
        <v>0</v>
      </c>
      <c r="N75" s="124">
        <f>'Расходы фисташки по годам'!M8/$T$71</f>
        <v>0</v>
      </c>
      <c r="O75" s="124">
        <f>'Расходы фисташки по годам'!N8/$T$71</f>
        <v>0</v>
      </c>
      <c r="P75" s="124">
        <f>'Расходы фисташки по годам'!O8/$T$71</f>
        <v>0</v>
      </c>
      <c r="Q75" s="124">
        <f>'Расходы фисташки по годам'!P8/$T$71</f>
        <v>0</v>
      </c>
      <c r="R75" s="124">
        <f>'Расходы фисташки по годам'!Q8/$T$71</f>
        <v>0</v>
      </c>
      <c r="S75" s="124">
        <f>'Расходы фисташки по годам'!R8/$T$71</f>
        <v>0</v>
      </c>
      <c r="T75" s="124">
        <f>'Расходы фисташки по годам'!S8/$T$71</f>
        <v>0</v>
      </c>
    </row>
    <row r="76" spans="2:20" ht="13.5" hidden="1">
      <c r="B76" s="124" t="s">
        <v>12</v>
      </c>
      <c r="C76" s="124"/>
      <c r="D76" s="124">
        <f>'Расходы фисташки по годам'!C9/$T$71</f>
        <v>0</v>
      </c>
      <c r="E76" s="124">
        <f>'Расходы фисташки по годам'!D9/$T$71</f>
        <v>0</v>
      </c>
      <c r="F76" s="124">
        <f>'Расходы фисташки по годам'!E9/$T$71</f>
        <v>0</v>
      </c>
      <c r="G76" s="124">
        <f>'Расходы фисташки по годам'!F9/$T$71</f>
        <v>0</v>
      </c>
      <c r="H76" s="124">
        <f>'Расходы фисташки по годам'!G9/$T$71</f>
        <v>0</v>
      </c>
      <c r="I76" s="124">
        <f>'Расходы фисташки по годам'!H9/$T$71</f>
        <v>0</v>
      </c>
      <c r="J76" s="124">
        <f>'Расходы фисташки по годам'!I9/$T$71</f>
        <v>0</v>
      </c>
      <c r="K76" s="124">
        <f>'Расходы фисташки по годам'!J9/$T$71</f>
        <v>0</v>
      </c>
      <c r="L76" s="124">
        <f>'Расходы фисташки по годам'!K9/$T$71</f>
        <v>0</v>
      </c>
      <c r="M76" s="124">
        <f>'Расходы фисташки по годам'!L9/$T$71</f>
        <v>0</v>
      </c>
      <c r="N76" s="124">
        <f>'Расходы фисташки по годам'!M9/$T$71</f>
        <v>0</v>
      </c>
      <c r="O76" s="124">
        <f>'Расходы фисташки по годам'!N9/$T$71</f>
        <v>0</v>
      </c>
      <c r="P76" s="124">
        <f>'Расходы фисташки по годам'!O9/$T$71</f>
        <v>0</v>
      </c>
      <c r="Q76" s="124">
        <f>'Расходы фисташки по годам'!P9/$T$71</f>
        <v>0</v>
      </c>
      <c r="R76" s="124">
        <f>'Расходы фисташки по годам'!Q9/$T$71</f>
        <v>0</v>
      </c>
      <c r="S76" s="124">
        <f>'Расходы фисташки по годам'!R9/$T$71</f>
        <v>0</v>
      </c>
      <c r="T76" s="124">
        <f>'Расходы фисташки по годам'!S9/$T$71</f>
        <v>0</v>
      </c>
    </row>
    <row r="77" spans="2:20" ht="13.5" hidden="1">
      <c r="B77" s="124" t="s">
        <v>8</v>
      </c>
      <c r="C77" s="124"/>
      <c r="D77" s="124">
        <f>'Расходы фисташки по годам'!C10/$T$71</f>
        <v>0</v>
      </c>
      <c r="E77" s="124">
        <f>'Расходы фисташки по годам'!D10/$T$71</f>
        <v>0</v>
      </c>
      <c r="F77" s="124">
        <f>'Расходы фисташки по годам'!E10/$T$71</f>
        <v>0</v>
      </c>
      <c r="G77" s="124">
        <f>'Расходы фисташки по годам'!F10/$T$71</f>
        <v>0</v>
      </c>
      <c r="H77" s="124">
        <f>'Расходы фисташки по годам'!G10/$T$71</f>
        <v>0</v>
      </c>
      <c r="I77" s="124">
        <f>'Расходы фисташки по годам'!H10/$T$71</f>
        <v>0</v>
      </c>
      <c r="J77" s="124">
        <f>'Расходы фисташки по годам'!I10/$T$71</f>
        <v>0</v>
      </c>
      <c r="K77" s="124">
        <f>'Расходы фисташки по годам'!J10/$T$71</f>
        <v>0</v>
      </c>
      <c r="L77" s="124">
        <f>'Расходы фисташки по годам'!K10/$T$71</f>
        <v>0</v>
      </c>
      <c r="M77" s="124">
        <f>'Расходы фисташки по годам'!L10/$T$71</f>
        <v>0</v>
      </c>
      <c r="N77" s="124">
        <f>'Расходы фисташки по годам'!M10/$T$71</f>
        <v>0</v>
      </c>
      <c r="O77" s="124">
        <f>'Расходы фисташки по годам'!N10/$T$71</f>
        <v>0</v>
      </c>
      <c r="P77" s="124">
        <f>'Расходы фисташки по годам'!O10/$T$71</f>
        <v>0</v>
      </c>
      <c r="Q77" s="124">
        <f>'Расходы фисташки по годам'!P10/$T$71</f>
        <v>0</v>
      </c>
      <c r="R77" s="124">
        <f>'Расходы фисташки по годам'!Q10/$T$71</f>
        <v>0</v>
      </c>
      <c r="S77" s="124">
        <f>'Расходы фисташки по годам'!R10/$T$71</f>
        <v>0</v>
      </c>
      <c r="T77" s="124">
        <f>'Расходы фисташки по годам'!S10/$T$71</f>
        <v>0</v>
      </c>
    </row>
    <row r="78" spans="2:20" ht="13.5" hidden="1">
      <c r="B78" s="124" t="s">
        <v>73</v>
      </c>
      <c r="C78" s="124"/>
      <c r="D78" s="124">
        <f>'Расходы фисташки по годам'!C11/$T$71</f>
        <v>0</v>
      </c>
      <c r="E78" s="124">
        <f>'Расходы фисташки по годам'!D11/$T$71</f>
        <v>0</v>
      </c>
      <c r="F78" s="124">
        <f>'Расходы фисташки по годам'!E11/$T$71</f>
        <v>0</v>
      </c>
      <c r="G78" s="124">
        <f>'Расходы фисташки по годам'!F11/$T$71</f>
        <v>0</v>
      </c>
      <c r="H78" s="124">
        <f>'Расходы фисташки по годам'!G11/$T$71</f>
        <v>0</v>
      </c>
      <c r="I78" s="124">
        <f>'Расходы фисташки по годам'!H11/$T$71</f>
        <v>0</v>
      </c>
      <c r="J78" s="124">
        <f>'Расходы фисташки по годам'!I11/$T$71</f>
        <v>0</v>
      </c>
      <c r="K78" s="124">
        <f>'Расходы фисташки по годам'!J11/$T$71</f>
        <v>0</v>
      </c>
      <c r="L78" s="124">
        <f>'Расходы фисташки по годам'!K11/$T$71</f>
        <v>0</v>
      </c>
      <c r="M78" s="124">
        <f>'Расходы фисташки по годам'!L11/$T$71</f>
        <v>0</v>
      </c>
      <c r="N78" s="124">
        <f>'Расходы фисташки по годам'!M11/$T$71</f>
        <v>0</v>
      </c>
      <c r="O78" s="124">
        <f>'Расходы фисташки по годам'!N11/$T$71</f>
        <v>0</v>
      </c>
      <c r="P78" s="124">
        <f>'Расходы фисташки по годам'!O11/$T$71</f>
        <v>0</v>
      </c>
      <c r="Q78" s="124">
        <f>'Расходы фисташки по годам'!P11/$T$71</f>
        <v>0</v>
      </c>
      <c r="R78" s="124">
        <f>'Расходы фисташки по годам'!Q11/$T$71</f>
        <v>0</v>
      </c>
      <c r="S78" s="124">
        <f>'Расходы фисташки по годам'!R11/$T$71</f>
        <v>0</v>
      </c>
      <c r="T78" s="124">
        <f>'Расходы фисташки по годам'!S11/$T$71</f>
        <v>0</v>
      </c>
    </row>
    <row r="79" spans="2:20" ht="22.5" customHeight="1">
      <c r="B79" s="132" t="s">
        <v>115</v>
      </c>
      <c r="C79" s="132">
        <f>C80+C81+C82+C83+C84+C85+C86+C87+C88+C89+C90+C91+C92+C93+C94+C95+C96+C97+C98+C99</f>
        <v>2699.4392</v>
      </c>
      <c r="D79" s="132">
        <f aca="true" t="shared" si="25" ref="D79:T79">D80+D81+D82+D83+D84+D85+D86+D87+D88+D89+D90+D91+D92+D93+D94+D95+D96+D97+D98+D99</f>
        <v>1091.145</v>
      </c>
      <c r="E79" s="132">
        <f t="shared" si="25"/>
        <v>1874.545</v>
      </c>
      <c r="F79" s="132">
        <f t="shared" si="25"/>
        <v>934.5450000000001</v>
      </c>
      <c r="G79" s="132">
        <f t="shared" si="25"/>
        <v>979.5450000000001</v>
      </c>
      <c r="H79" s="132">
        <f t="shared" si="25"/>
        <v>1009.5450000000001</v>
      </c>
      <c r="I79" s="132">
        <f t="shared" si="25"/>
        <v>1024.545</v>
      </c>
      <c r="J79" s="132">
        <f t="shared" si="25"/>
        <v>1024.545</v>
      </c>
      <c r="K79" s="132">
        <f t="shared" si="25"/>
        <v>1024.545</v>
      </c>
      <c r="L79" s="132">
        <f t="shared" si="25"/>
        <v>1024.545</v>
      </c>
      <c r="M79" s="132">
        <f t="shared" si="25"/>
        <v>1069.545</v>
      </c>
      <c r="N79" s="132">
        <f t="shared" si="25"/>
        <v>1069.545</v>
      </c>
      <c r="O79" s="132">
        <f t="shared" si="25"/>
        <v>1084.545</v>
      </c>
      <c r="P79" s="132">
        <f t="shared" si="25"/>
        <v>1099.545</v>
      </c>
      <c r="Q79" s="132">
        <f t="shared" si="25"/>
        <v>1024.545</v>
      </c>
      <c r="R79" s="132">
        <f t="shared" si="25"/>
        <v>1096.62</v>
      </c>
      <c r="S79" s="132">
        <f t="shared" si="25"/>
        <v>1096.62</v>
      </c>
      <c r="T79" s="132">
        <f t="shared" si="25"/>
        <v>1585.395</v>
      </c>
    </row>
    <row r="80" spans="2:20" ht="13.5">
      <c r="B80" s="124" t="s">
        <v>181</v>
      </c>
      <c r="C80" s="124">
        <f>'Расходы фисташки по годам'!B13*$G$4</f>
        <v>0</v>
      </c>
      <c r="D80" s="124">
        <f>'Расходы фисташки по годам'!C13/$T$71*$G$4</f>
        <v>52</v>
      </c>
      <c r="E80" s="124">
        <f>'Расходы фисташки по годам'!D13/$T$71*$G$4</f>
        <v>52</v>
      </c>
      <c r="F80" s="124">
        <f>'Расходы фисташки по годам'!E13/$T$71*$G$4</f>
        <v>52</v>
      </c>
      <c r="G80" s="124">
        <f>'Расходы фисташки по годам'!F13/$T$71*$G$4</f>
        <v>52</v>
      </c>
      <c r="H80" s="124">
        <f>'Расходы фисташки по годам'!G13/$T$71*$G$4</f>
        <v>52</v>
      </c>
      <c r="I80" s="124">
        <f>'Расходы фисташки по годам'!H13/$T$71*$G$4</f>
        <v>52</v>
      </c>
      <c r="J80" s="124">
        <f>'Расходы фисташки по годам'!I13/$T$71*$G$4</f>
        <v>52</v>
      </c>
      <c r="K80" s="124">
        <f>'Расходы фисташки по годам'!J13/$T$71*$G$4</f>
        <v>52</v>
      </c>
      <c r="L80" s="124">
        <f>'Расходы фисташки по годам'!K13/$T$71*$G$4</f>
        <v>52</v>
      </c>
      <c r="M80" s="124">
        <f>'Расходы фисташки по годам'!L13/$T$71*$G$4</f>
        <v>52</v>
      </c>
      <c r="N80" s="124">
        <f>'Расходы фисташки по годам'!M13/$T$71*$G$4</f>
        <v>52</v>
      </c>
      <c r="O80" s="124">
        <f>'Расходы фисташки по годам'!N13/$T$71*$G$4</f>
        <v>52</v>
      </c>
      <c r="P80" s="124">
        <f>'Расходы фисташки по годам'!O13/$T$71*$G$4</f>
        <v>52</v>
      </c>
      <c r="Q80" s="124">
        <f>'Расходы фисташки по годам'!P13/$T$71*$G$4</f>
        <v>52</v>
      </c>
      <c r="R80" s="124">
        <f>'Расходы фисташки по годам'!Q13/$T$71*$G$4</f>
        <v>52</v>
      </c>
      <c r="S80" s="124">
        <f>'Расходы фисташки по годам'!R13/$T$71*$G$4</f>
        <v>52</v>
      </c>
      <c r="T80" s="124">
        <f>'Расходы фисташки по годам'!S13/$T$71*$G$4</f>
        <v>52</v>
      </c>
    </row>
    <row r="81" spans="2:20" ht="13.5">
      <c r="B81" s="124" t="s">
        <v>182</v>
      </c>
      <c r="C81" s="124">
        <f>'Расходы фисташки по годам'!B14/1000*G4</f>
        <v>52</v>
      </c>
      <c r="D81" s="124">
        <f>'Расходы фисташки по годам'!C14/$T$71*$G$4</f>
        <v>52</v>
      </c>
      <c r="E81" s="124">
        <f>'Расходы фисташки по годам'!D14/$T$71*$G$4</f>
        <v>52</v>
      </c>
      <c r="F81" s="124">
        <f>'Расходы фисташки по годам'!E14/$T$71*$G$4</f>
        <v>52</v>
      </c>
      <c r="G81" s="124">
        <f>'Расходы фисташки по годам'!F14/$T$71*$G$4</f>
        <v>52</v>
      </c>
      <c r="H81" s="124">
        <f>'Расходы фисташки по годам'!G14/$T$71*$G$4</f>
        <v>52</v>
      </c>
      <c r="I81" s="124">
        <f>'Расходы фисташки по годам'!H14/$T$71*$G$4</f>
        <v>52</v>
      </c>
      <c r="J81" s="124">
        <f>'Расходы фисташки по годам'!I14/$T$71*$G$4</f>
        <v>52</v>
      </c>
      <c r="K81" s="124">
        <f>'Расходы фисташки по годам'!J14/$T$71*$G$4</f>
        <v>52</v>
      </c>
      <c r="L81" s="124">
        <f>'Расходы фисташки по годам'!K14/$T$71*$G$4</f>
        <v>52</v>
      </c>
      <c r="M81" s="124">
        <f>'Расходы фисташки по годам'!L14/$T$71*$G$4</f>
        <v>52</v>
      </c>
      <c r="N81" s="124">
        <f>'Расходы фисташки по годам'!M14/$T$71*$G$4</f>
        <v>52</v>
      </c>
      <c r="O81" s="124">
        <f>'Расходы фисташки по годам'!N14/$T$71*$G$4</f>
        <v>52</v>
      </c>
      <c r="P81" s="124">
        <f>'Расходы фисташки по годам'!O14/$T$71*$G$4</f>
        <v>52</v>
      </c>
      <c r="Q81" s="124">
        <f>'Расходы фисташки по годам'!P14/$T$71*$G$4</f>
        <v>52</v>
      </c>
      <c r="R81" s="124">
        <f>'Расходы фисташки по годам'!Q14/$T$71*$G$4</f>
        <v>52</v>
      </c>
      <c r="S81" s="124">
        <f>'Расходы фисташки по годам'!R14/$T$71*$G$4</f>
        <v>52</v>
      </c>
      <c r="T81" s="124">
        <f>'Расходы фисташки по годам'!S14/$T$71*$G$4</f>
        <v>52</v>
      </c>
    </row>
    <row r="82" spans="2:20" ht="13.5">
      <c r="B82" s="124" t="s">
        <v>72</v>
      </c>
      <c r="C82" s="124">
        <f>'Расходы фисташки по годам'!B15/1000*G4</f>
        <v>20.8</v>
      </c>
      <c r="D82" s="124">
        <f>'Расходы фисташки по годам'!C15/$T$71*$G$4</f>
        <v>20.8</v>
      </c>
      <c r="E82" s="124">
        <f>'Расходы фисташки по годам'!D15/$T$71*$G$4</f>
        <v>20.8</v>
      </c>
      <c r="F82" s="124">
        <f>'Расходы фисташки по годам'!E15/$T$71*$G$4</f>
        <v>20.8</v>
      </c>
      <c r="G82" s="124">
        <f>'Расходы фисташки по годам'!F15/$T$71*$G$4</f>
        <v>20.8</v>
      </c>
      <c r="H82" s="124">
        <f>'Расходы фисташки по годам'!G15/$T$71*$G$4</f>
        <v>20.8</v>
      </c>
      <c r="I82" s="124">
        <f>'Расходы фисташки по годам'!H15/$T$71*$G$4</f>
        <v>20.8</v>
      </c>
      <c r="J82" s="124">
        <f>'Расходы фисташки по годам'!I15/$T$71*$G$4</f>
        <v>20.8</v>
      </c>
      <c r="K82" s="124">
        <f>'Расходы фисташки по годам'!J15/$T$71*$G$4</f>
        <v>20.8</v>
      </c>
      <c r="L82" s="124">
        <f>'Расходы фисташки по годам'!K15/$T$71*$G$4</f>
        <v>20.8</v>
      </c>
      <c r="M82" s="124">
        <f>'Расходы фисташки по годам'!L15/$T$71*$G$4</f>
        <v>20.8</v>
      </c>
      <c r="N82" s="124">
        <f>'Расходы фисташки по годам'!M15/$T$71*$G$4</f>
        <v>20.8</v>
      </c>
      <c r="O82" s="124">
        <f>'Расходы фисташки по годам'!N15/$T$71*$G$4</f>
        <v>20.8</v>
      </c>
      <c r="P82" s="124">
        <f>'Расходы фисташки по годам'!O15/$T$71*$G$4</f>
        <v>20.8</v>
      </c>
      <c r="Q82" s="124">
        <f>'Расходы фисташки по годам'!P15/$T$71*$G$4</f>
        <v>20.8</v>
      </c>
      <c r="R82" s="124">
        <f>'Расходы фисташки по годам'!Q15/$T$71*$G$4</f>
        <v>20.8</v>
      </c>
      <c r="S82" s="124">
        <f>'Расходы фисташки по годам'!R15/$T$71*$G$4</f>
        <v>20.8</v>
      </c>
      <c r="T82" s="124">
        <f>'Расходы фисташки по годам'!S15/$T$71*$G$4</f>
        <v>20.8</v>
      </c>
    </row>
    <row r="83" spans="2:20" ht="13.5">
      <c r="B83" s="124" t="s">
        <v>78</v>
      </c>
      <c r="C83" s="124">
        <f>'Расходы фисташки по годам'!B16/1000*G4</f>
        <v>907.2</v>
      </c>
      <c r="D83" s="124">
        <f>'Расходы фисташки по годам'!C16/$T$71*$G$4</f>
        <v>0</v>
      </c>
      <c r="E83" s="124">
        <f>'Расходы фисташки по годам'!D16/$T$71*$G$4</f>
        <v>0</v>
      </c>
      <c r="F83" s="124">
        <f>'Расходы фисташки по годам'!E16/$T$71*$G$4</f>
        <v>0</v>
      </c>
      <c r="G83" s="124">
        <f>'Расходы фисташки по годам'!F16/$T$71*$G$4</f>
        <v>0</v>
      </c>
      <c r="H83" s="124">
        <f>'Расходы фисташки по годам'!G16/$T$71*$G$4</f>
        <v>0</v>
      </c>
      <c r="I83" s="124">
        <f>'Расходы фисташки по годам'!H16/$T$71*$G$4</f>
        <v>0</v>
      </c>
      <c r="J83" s="124">
        <f>'Расходы фисташки по годам'!I16/$T$71*$G$4</f>
        <v>0</v>
      </c>
      <c r="K83" s="124">
        <f>'Расходы фисташки по годам'!J16/$T$71*$G$4</f>
        <v>0</v>
      </c>
      <c r="L83" s="124">
        <f>'Расходы фисташки по годам'!K16/$T$71*$G$4</f>
        <v>0</v>
      </c>
      <c r="M83" s="124">
        <f>'Расходы фисташки по годам'!L16/$T$71*$G$4</f>
        <v>0</v>
      </c>
      <c r="N83" s="124">
        <f>'Расходы фисташки по годам'!M16/$T$71*$G$4</f>
        <v>0</v>
      </c>
      <c r="O83" s="124">
        <f>'Расходы фисташки по годам'!N16/$T$71*$G$4</f>
        <v>0</v>
      </c>
      <c r="P83" s="124">
        <f>'Расходы фисташки по годам'!O16/$T$71*$G$4</f>
        <v>0</v>
      </c>
      <c r="Q83" s="124">
        <f>'Расходы фисташки по годам'!P16/$T$71*$G$4</f>
        <v>0</v>
      </c>
      <c r="R83" s="124">
        <f>'Расходы фисташки по годам'!Q16/$T$71*$G$4</f>
        <v>0</v>
      </c>
      <c r="S83" s="124">
        <f>'Расходы фисташки по годам'!R16/$T$71*$G$4</f>
        <v>0</v>
      </c>
      <c r="T83" s="124">
        <f>'Расходы фисташки по годам'!S16/$T$71*$G$4</f>
        <v>0</v>
      </c>
    </row>
    <row r="84" spans="2:20" ht="13.5">
      <c r="B84" s="124" t="s">
        <v>67</v>
      </c>
      <c r="C84" s="124">
        <f>'Расходы фисташки по годам'!B17/1000*G4</f>
        <v>440.8992</v>
      </c>
      <c r="D84" s="124">
        <f>'Расходы фисташки по годам'!C17/$T$71*$G$4</f>
        <v>0</v>
      </c>
      <c r="E84" s="124">
        <f>'Расходы фисташки по годам'!D17/$T$71*$G$4</f>
        <v>0</v>
      </c>
      <c r="F84" s="124">
        <f>'Расходы фисташки по годам'!E17/$T$71*$G$4</f>
        <v>0</v>
      </c>
      <c r="G84" s="124">
        <f>'Расходы фисташки по годам'!F17/$T$71*$G$4</f>
        <v>0</v>
      </c>
      <c r="H84" s="124">
        <f>'Расходы фисташки по годам'!G17/$T$71*$G$4</f>
        <v>0</v>
      </c>
      <c r="I84" s="124">
        <f>'Расходы фисташки по годам'!H17/$T$71*$G$4</f>
        <v>0</v>
      </c>
      <c r="J84" s="124">
        <f>'Расходы фисташки по годам'!I17/$T$71*$G$4</f>
        <v>0</v>
      </c>
      <c r="K84" s="124">
        <f>'Расходы фисташки по годам'!J17/$T$71*$G$4</f>
        <v>0</v>
      </c>
      <c r="L84" s="124">
        <f>'Расходы фисташки по годам'!K17/$T$71*$G$4</f>
        <v>0</v>
      </c>
      <c r="M84" s="124">
        <f>'Расходы фисташки по годам'!L17/$T$71*$G$4</f>
        <v>0</v>
      </c>
      <c r="N84" s="124">
        <f>'Расходы фисташки по годам'!M17/$T$71*$G$4</f>
        <v>0</v>
      </c>
      <c r="O84" s="124">
        <f>'Расходы фисташки по годам'!N17/$T$71*$G$4</f>
        <v>0</v>
      </c>
      <c r="P84" s="124">
        <f>'Расходы фисташки по годам'!O17/$T$71*$G$4</f>
        <v>0</v>
      </c>
      <c r="Q84" s="124">
        <f>'Расходы фисташки по годам'!P17/$T$71*$G$4</f>
        <v>0</v>
      </c>
      <c r="R84" s="124">
        <f>'Расходы фисташки по годам'!Q17/$T$71*$G$4</f>
        <v>0</v>
      </c>
      <c r="S84" s="124">
        <f>'Расходы фисташки по годам'!R17/$T$71*$G$4</f>
        <v>0</v>
      </c>
      <c r="T84" s="124">
        <f>'Расходы фисташки по годам'!S17/$T$71*$G$4</f>
        <v>0</v>
      </c>
    </row>
    <row r="85" spans="2:20" ht="27">
      <c r="B85" s="125" t="s">
        <v>79</v>
      </c>
      <c r="C85" s="124">
        <f>'Расходы фисташки по годам'!B18/1000*G4</f>
        <v>50</v>
      </c>
      <c r="D85" s="124">
        <f>'Расходы фисташки по годам'!C18/$T$71*$G$4</f>
        <v>0</v>
      </c>
      <c r="E85" s="124">
        <f>'Расходы фисташки по годам'!D18/$T$71*$G$4</f>
        <v>0</v>
      </c>
      <c r="F85" s="124">
        <f>'Расходы фисташки по годам'!E18/$T$71*$G$4</f>
        <v>0</v>
      </c>
      <c r="G85" s="124">
        <f>'Расходы фисташки по годам'!F18/$T$71*$G$4</f>
        <v>0</v>
      </c>
      <c r="H85" s="124">
        <f>'Расходы фисташки по годам'!G18/$T$71*$G$4</f>
        <v>0</v>
      </c>
      <c r="I85" s="124">
        <f>'Расходы фисташки по годам'!H18/$T$71*$G$4</f>
        <v>0</v>
      </c>
      <c r="J85" s="124">
        <f>'Расходы фисташки по годам'!I18/$T$71*$G$4</f>
        <v>0</v>
      </c>
      <c r="K85" s="124">
        <f>'Расходы фисташки по годам'!J18/$T$71*$G$4</f>
        <v>0</v>
      </c>
      <c r="L85" s="124">
        <f>'Расходы фисташки по годам'!K18/$T$71*$G$4</f>
        <v>0</v>
      </c>
      <c r="M85" s="124">
        <f>'Расходы фисташки по годам'!L18/$T$71*$G$4</f>
        <v>0</v>
      </c>
      <c r="N85" s="124">
        <f>'Расходы фисташки по годам'!M18/$T$71*$G$4</f>
        <v>0</v>
      </c>
      <c r="O85" s="124">
        <f>'Расходы фисташки по годам'!N18/$T$71*$G$4</f>
        <v>0</v>
      </c>
      <c r="P85" s="124">
        <f>'Расходы фисташки по годам'!O18/$T$71*$G$4</f>
        <v>0</v>
      </c>
      <c r="Q85" s="124">
        <f>'Расходы фисташки по годам'!P18/$T$71*$G$4</f>
        <v>0</v>
      </c>
      <c r="R85" s="124">
        <f>'Расходы фисташки по годам'!Q18/$T$71*$G$4</f>
        <v>0</v>
      </c>
      <c r="S85" s="124">
        <f>'Расходы фисташки по годам'!R18/$T$71*$G$4</f>
        <v>0</v>
      </c>
      <c r="T85" s="124">
        <f>'Расходы фисташки по годам'!S18/$T$71*$G$4</f>
        <v>0</v>
      </c>
    </row>
    <row r="86" spans="2:20" ht="13.5">
      <c r="B86" s="124" t="s">
        <v>164</v>
      </c>
      <c r="C86" s="124">
        <f>'Расходы фисташки по годам'!B19/1000*G4</f>
        <v>0</v>
      </c>
      <c r="D86" s="124">
        <f>'Расходы фисташки по годам'!C19/$T$71*$G$4</f>
        <v>0</v>
      </c>
      <c r="E86" s="124">
        <f>'Расходы фисташки по годам'!D19/$T$71*$G$4</f>
        <v>0</v>
      </c>
      <c r="F86" s="124">
        <f>'Расходы фисташки по годам'!E19/$T$71*$G$4</f>
        <v>0</v>
      </c>
      <c r="G86" s="124">
        <f>'Расходы фисташки по годам'!F19/$T$71*$G$4</f>
        <v>0</v>
      </c>
      <c r="H86" s="124">
        <f>'Расходы фисташки по годам'!G19/$T$71*$G$4</f>
        <v>0</v>
      </c>
      <c r="I86" s="124">
        <f>'Расходы фисташки по годам'!H19/$T$71*$G$4</f>
        <v>0</v>
      </c>
      <c r="J86" s="124">
        <f>'Расходы фисташки по годам'!I19/$T$71*$G$4</f>
        <v>0</v>
      </c>
      <c r="K86" s="124">
        <f>'Расходы фисташки по годам'!J19/$T$71*$G$4</f>
        <v>0</v>
      </c>
      <c r="L86" s="124">
        <f>'Расходы фисташки по годам'!K19/$T$71*$G$4</f>
        <v>0</v>
      </c>
      <c r="M86" s="124">
        <f>'Расходы фисташки по годам'!L19/$T$71*$G$4</f>
        <v>0</v>
      </c>
      <c r="N86" s="124">
        <f>'Расходы фисташки по годам'!M19/$T$71*$G$4</f>
        <v>0</v>
      </c>
      <c r="O86" s="124">
        <f>'Расходы фисташки по годам'!N19/$T$71*$G$4</f>
        <v>0</v>
      </c>
      <c r="P86" s="124">
        <f>'Расходы фисташки по годам'!O19/$T$71*$G$4</f>
        <v>0</v>
      </c>
      <c r="Q86" s="124">
        <f>'Расходы фисташки по годам'!P19/$T$71*$G$4</f>
        <v>0</v>
      </c>
      <c r="R86" s="124">
        <f>'Расходы фисташки по годам'!Q19/$T$71*$G$4</f>
        <v>0</v>
      </c>
      <c r="S86" s="124">
        <f>'Расходы фисташки по годам'!R19/$T$71*$G$4</f>
        <v>0</v>
      </c>
      <c r="T86" s="124">
        <f>'Расходы фисташки по годам'!S19/$T$71*$G$4</f>
        <v>0</v>
      </c>
    </row>
    <row r="87" spans="2:20" ht="13.5">
      <c r="B87" s="124" t="s">
        <v>165</v>
      </c>
      <c r="C87" s="124">
        <f>'Расходы фисташки по годам'!B20/1000*G4</f>
        <v>208</v>
      </c>
      <c r="D87" s="124">
        <f>'Расходы фисташки по годам'!C20/$T$71*$G$4</f>
        <v>41.6</v>
      </c>
      <c r="E87" s="124">
        <f>'Расходы фисташки по годам'!D20/$T$71*$G$4</f>
        <v>0</v>
      </c>
      <c r="F87" s="124">
        <f>'Расходы фисташки по годам'!E20/$T$71*$G$4</f>
        <v>0</v>
      </c>
      <c r="G87" s="124">
        <f>'Расходы фисташки по годам'!F20/$T$71*$G$4</f>
        <v>0</v>
      </c>
      <c r="H87" s="124">
        <f>'Расходы фисташки по годам'!G20/$T$71*$G$4</f>
        <v>0</v>
      </c>
      <c r="I87" s="124">
        <f>'Расходы фисташки по годам'!H20/$T$71*$G$4</f>
        <v>0</v>
      </c>
      <c r="J87" s="124">
        <f>'Расходы фисташки по годам'!I20/$T$71*$G$4</f>
        <v>0</v>
      </c>
      <c r="K87" s="124">
        <f>'Расходы фисташки по годам'!J20/$T$71*$G$4</f>
        <v>0</v>
      </c>
      <c r="L87" s="124">
        <f>'Расходы фисташки по годам'!K20/$T$71*$G$4</f>
        <v>0</v>
      </c>
      <c r="M87" s="124">
        <f>'Расходы фисташки по годам'!L20/$T$71*$G$4</f>
        <v>0</v>
      </c>
      <c r="N87" s="124">
        <f>'Расходы фисташки по годам'!M20/$T$71*$G$4</f>
        <v>0</v>
      </c>
      <c r="O87" s="124">
        <f>'Расходы фисташки по годам'!N20/$T$71*$G$4</f>
        <v>0</v>
      </c>
      <c r="P87" s="124">
        <f>'Расходы фисташки по годам'!O20/$T$71*$G$4</f>
        <v>0</v>
      </c>
      <c r="Q87" s="124">
        <f>'Расходы фисташки по годам'!P20/$T$71*$G$4</f>
        <v>0</v>
      </c>
      <c r="R87" s="124">
        <f>'Расходы фисташки по годам'!Q20/$T$71*$G$4</f>
        <v>0</v>
      </c>
      <c r="S87" s="124">
        <f>'Расходы фисташки по годам'!R20/$T$71*$G$4</f>
        <v>0</v>
      </c>
      <c r="T87" s="124">
        <f>'Расходы фисташки по годам'!S20/$T$71*$G$4</f>
        <v>0</v>
      </c>
    </row>
    <row r="88" spans="2:20" ht="13.5">
      <c r="B88" s="124" t="s">
        <v>11</v>
      </c>
      <c r="C88" s="124">
        <f>'Расходы фисташки по годам'!B21/1000*G4</f>
        <v>40</v>
      </c>
      <c r="D88" s="124">
        <f>'Расходы фисташки по годам'!C21/$T$71*$G$4</f>
        <v>0</v>
      </c>
      <c r="E88" s="124">
        <f>'Расходы фисташки по годам'!D21/$T$71*$G$4</f>
        <v>0</v>
      </c>
      <c r="F88" s="124">
        <f>'Расходы фисташки по годам'!E21/$T$71*$G$4</f>
        <v>0</v>
      </c>
      <c r="G88" s="124">
        <f>'Расходы фисташки по годам'!F21/$T$71*$G$4</f>
        <v>0</v>
      </c>
      <c r="H88" s="124">
        <f>'Расходы фисташки по годам'!G21/$T$71*$G$4</f>
        <v>0</v>
      </c>
      <c r="I88" s="124">
        <f>'Расходы фисташки по годам'!H21/$T$71*$G$4</f>
        <v>0</v>
      </c>
      <c r="J88" s="124">
        <f>'Расходы фисташки по годам'!I21/$T$71*$G$4</f>
        <v>0</v>
      </c>
      <c r="K88" s="124">
        <f>'Расходы фисташки по годам'!J21/$T$71*$G$4</f>
        <v>0</v>
      </c>
      <c r="L88" s="124">
        <f>'Расходы фисташки по годам'!K21/$T$71*$G$4</f>
        <v>0</v>
      </c>
      <c r="M88" s="124">
        <f>'Расходы фисташки по годам'!L21/$T$71*$G$4</f>
        <v>0</v>
      </c>
      <c r="N88" s="124">
        <f>'Расходы фисташки по годам'!M21/$T$71*$G$4</f>
        <v>0</v>
      </c>
      <c r="O88" s="124">
        <f>'Расходы фисташки по годам'!N21/$T$71*$G$4</f>
        <v>0</v>
      </c>
      <c r="P88" s="124">
        <f>'Расходы фисташки по годам'!O21/$T$71*$G$4</f>
        <v>0</v>
      </c>
      <c r="Q88" s="124">
        <f>'Расходы фисташки по годам'!P21/$T$71*$G$4</f>
        <v>0</v>
      </c>
      <c r="R88" s="124">
        <f>'Расходы фисташки по годам'!Q21/$T$71*$G$4</f>
        <v>0</v>
      </c>
      <c r="S88" s="124">
        <f>'Расходы фисташки по годам'!R21/$T$71*$G$4</f>
        <v>0</v>
      </c>
      <c r="T88" s="124">
        <f>'Расходы фисташки по годам'!S21/$T$71*$G$4</f>
        <v>0</v>
      </c>
    </row>
    <row r="89" spans="2:20" s="16" customFormat="1" ht="13.5">
      <c r="B89" s="124" t="s">
        <v>183</v>
      </c>
      <c r="C89" s="124">
        <f>'Расходы фисташки по годам'!B22/1000</f>
        <v>36</v>
      </c>
      <c r="D89" s="124">
        <f>'Расходы фисташки по годам'!C22/$T$71*$G$4</f>
        <v>0</v>
      </c>
      <c r="E89" s="124">
        <f>'Расходы фисташки по годам'!D22/$T$71*$G$4</f>
        <v>0</v>
      </c>
      <c r="F89" s="124">
        <f>'Расходы фисташки по годам'!E22/$T$71*$G$4</f>
        <v>0</v>
      </c>
      <c r="G89" s="124">
        <f>'Расходы фисташки по годам'!F22/$T$71*$G$4</f>
        <v>0</v>
      </c>
      <c r="H89" s="124">
        <f>'Расходы фисташки по годам'!G22/$T$71*$G$4</f>
        <v>0</v>
      </c>
      <c r="I89" s="124">
        <f>'Расходы фисташки по годам'!H22/$T$71*$G$4</f>
        <v>0</v>
      </c>
      <c r="J89" s="124">
        <f>'Расходы фисташки по годам'!I22/$T$71*$G$4</f>
        <v>0</v>
      </c>
      <c r="K89" s="124">
        <f>'Расходы фисташки по годам'!J22/$T$71*$G$4</f>
        <v>0</v>
      </c>
      <c r="L89" s="124">
        <f>'Расходы фисташки по годам'!K22/$T$71*$G$4</f>
        <v>0</v>
      </c>
      <c r="M89" s="124">
        <f>'Расходы фисташки по годам'!L22/$T$71*$G$4</f>
        <v>0</v>
      </c>
      <c r="N89" s="124">
        <f>'Расходы фисташки по годам'!M22/$T$71*$G$4</f>
        <v>0</v>
      </c>
      <c r="O89" s="124">
        <f>'Расходы фисташки по годам'!N22/$T$71*$G$4</f>
        <v>0</v>
      </c>
      <c r="P89" s="124">
        <f>'Расходы фисташки по годам'!O22/$T$71*$G$4</f>
        <v>0</v>
      </c>
      <c r="Q89" s="124">
        <f>'Расходы фисташки по годам'!P22/$T$71*$G$4</f>
        <v>0</v>
      </c>
      <c r="R89" s="124">
        <f>'Расходы фисташки по годам'!Q22/$T$71*$G$4</f>
        <v>0</v>
      </c>
      <c r="S89" s="124">
        <f>'Расходы фисташки по годам'!R22/$T$71*$G$4</f>
        <v>0</v>
      </c>
      <c r="T89" s="124">
        <f>'Расходы фисташки по годам'!S22/$T$71*$G$4</f>
        <v>0</v>
      </c>
    </row>
    <row r="90" spans="2:20" s="16" customFormat="1" ht="27">
      <c r="B90" s="125" t="s">
        <v>184</v>
      </c>
      <c r="C90" s="124">
        <f>'Расходы фисташки по годам'!B23/1000*G4</f>
        <v>141</v>
      </c>
      <c r="D90" s="124">
        <f>'Расходы фисташки по годам'!C23/1000*H4</f>
        <v>0</v>
      </c>
      <c r="E90" s="124">
        <f>'Расходы фисташки по годам'!D23/$T$71*$G$4</f>
        <v>0</v>
      </c>
      <c r="F90" s="124">
        <f>'Расходы фисташки по годам'!E23/$T$71*$G$4</f>
        <v>0</v>
      </c>
      <c r="G90" s="124">
        <f>'Расходы фисташки по годам'!F23/$T$71*$G$4</f>
        <v>0</v>
      </c>
      <c r="H90" s="124">
        <f>'Расходы фисташки по годам'!G23/$T$71*$G$4</f>
        <v>0</v>
      </c>
      <c r="I90" s="124">
        <f>'Расходы фисташки по годам'!H23/$T$71*$G$4</f>
        <v>0</v>
      </c>
      <c r="J90" s="124">
        <f>'Расходы фисташки по годам'!I23/$T$71*$G$4</f>
        <v>0</v>
      </c>
      <c r="K90" s="124">
        <f>'Расходы фисташки по годам'!J23/$T$71*$G$4</f>
        <v>0</v>
      </c>
      <c r="L90" s="124">
        <f>'Расходы фисташки по годам'!K23/$T$71*$G$4</f>
        <v>0</v>
      </c>
      <c r="M90" s="124">
        <f>'Расходы фисташки по годам'!L23/$T$71*$G$4</f>
        <v>0</v>
      </c>
      <c r="N90" s="124">
        <f>'Расходы фисташки по годам'!M23/$T$71*$G$4</f>
        <v>0</v>
      </c>
      <c r="O90" s="124">
        <f>'Расходы фисташки по годам'!N23/$T$71*$G$4</f>
        <v>0</v>
      </c>
      <c r="P90" s="124">
        <f>'Расходы фисташки по годам'!O23/$T$71*$G$4</f>
        <v>0</v>
      </c>
      <c r="Q90" s="124">
        <f>'Расходы фисташки по годам'!P23/$T$71*$G$4</f>
        <v>0</v>
      </c>
      <c r="R90" s="124">
        <f>'Расходы фисташки по годам'!Q23/$T$71*$G$4</f>
        <v>0</v>
      </c>
      <c r="S90" s="124">
        <f>'Расходы фисташки по годам'!R23/$T$71*$G$4</f>
        <v>0</v>
      </c>
      <c r="T90" s="124">
        <f>'Расходы фисташки по годам'!S23/$T$71*$G$4</f>
        <v>0</v>
      </c>
    </row>
    <row r="91" spans="2:20" s="16" customFormat="1" ht="13.5">
      <c r="B91" s="124" t="s">
        <v>127</v>
      </c>
      <c r="C91" s="124">
        <f>'Расходы фисташки по годам'!B24/1000*G4</f>
        <v>28</v>
      </c>
      <c r="D91" s="124">
        <f>'Расходы фисташки по годам'!C24/$T$71*$G$4</f>
        <v>0</v>
      </c>
      <c r="E91" s="124">
        <f>'Расходы фисташки по годам'!D24/$T$71*$G$4</f>
        <v>0</v>
      </c>
      <c r="F91" s="124">
        <f>'Расходы фисташки по годам'!E24/$T$71*$G$4</f>
        <v>0</v>
      </c>
      <c r="G91" s="124">
        <f>'Расходы фисташки по годам'!F24/$T$71*$G$4</f>
        <v>0</v>
      </c>
      <c r="H91" s="124">
        <f>'Расходы фисташки по годам'!G24/$T$71*$G$4</f>
        <v>0</v>
      </c>
      <c r="I91" s="124">
        <f>'Расходы фисташки по годам'!H24/$T$71*$G$4</f>
        <v>0</v>
      </c>
      <c r="J91" s="124">
        <f>'Расходы фисташки по годам'!I24/$T$71*$G$4</f>
        <v>0</v>
      </c>
      <c r="K91" s="124">
        <f>'Расходы фисташки по годам'!J24/$T$71*$G$4</f>
        <v>0</v>
      </c>
      <c r="L91" s="124">
        <f>'Расходы фисташки по годам'!K24/$T$71*$G$4</f>
        <v>0</v>
      </c>
      <c r="M91" s="124">
        <f>'Расходы фисташки по годам'!L24/$T$71*$G$4</f>
        <v>0</v>
      </c>
      <c r="N91" s="124">
        <f>'Расходы фисташки по годам'!M24/$T$71*$G$4</f>
        <v>0</v>
      </c>
      <c r="O91" s="124">
        <f>'Расходы фисташки по годам'!N24/$T$71*$G$4</f>
        <v>0</v>
      </c>
      <c r="P91" s="124">
        <f>'Расходы фисташки по годам'!O24/$T$71*$G$4</f>
        <v>0</v>
      </c>
      <c r="Q91" s="124">
        <f>'Расходы фисташки по годам'!P24/$T$71*$G$4</f>
        <v>0</v>
      </c>
      <c r="R91" s="124">
        <f>'Расходы фисташки по годам'!Q24/$T$71*$G$4</f>
        <v>0</v>
      </c>
      <c r="S91" s="124">
        <f>'Расходы фисташки по годам'!R24/$T$71*$G$4</f>
        <v>0</v>
      </c>
      <c r="T91" s="124">
        <f>'Расходы фисташки по годам'!S24/$T$71*$G$4</f>
        <v>0</v>
      </c>
    </row>
    <row r="92" spans="2:20" s="16" customFormat="1" ht="13.5">
      <c r="B92" s="124" t="s">
        <v>82</v>
      </c>
      <c r="C92" s="124">
        <f>'Расходы фисташки по годам'!B25/1000*G4</f>
        <v>50</v>
      </c>
      <c r="D92" s="124">
        <f>'Расходы фисташки по годам'!C25/$T$71*$G$4</f>
        <v>50</v>
      </c>
      <c r="E92" s="124">
        <f>'Расходы фисташки по годам'!D25/$T$71*$G$4</f>
        <v>0</v>
      </c>
      <c r="F92" s="124">
        <f>'Расходы фисташки по годам'!E25/$T$71*$G$4</f>
        <v>0</v>
      </c>
      <c r="G92" s="124">
        <f>'Расходы фисташки по годам'!F25/$T$71*$G$4</f>
        <v>0</v>
      </c>
      <c r="H92" s="124">
        <f>'Расходы фисташки по годам'!G25/$T$71*$G$4</f>
        <v>0</v>
      </c>
      <c r="I92" s="124">
        <f>'Расходы фисташки по годам'!H25/$T$71*$G$4</f>
        <v>0</v>
      </c>
      <c r="J92" s="124">
        <f>'Расходы фисташки по годам'!I25/$T$71*$G$4</f>
        <v>0</v>
      </c>
      <c r="K92" s="124">
        <f>'Расходы фисташки по годам'!J25/$T$71*$G$4</f>
        <v>0</v>
      </c>
      <c r="L92" s="124">
        <f>'Расходы фисташки по годам'!K25/$T$71*$G$4</f>
        <v>0</v>
      </c>
      <c r="M92" s="124">
        <f>'Расходы фисташки по годам'!L25/$T$71*$G$4</f>
        <v>0</v>
      </c>
      <c r="N92" s="124">
        <f>'Расходы фисташки по годам'!M25/$T$71*$G$4</f>
        <v>0</v>
      </c>
      <c r="O92" s="124">
        <f>'Расходы фисташки по годам'!N25/$T$71*$G$4</f>
        <v>0</v>
      </c>
      <c r="P92" s="124">
        <f>'Расходы фисташки по годам'!O25/$T$71*$G$4</f>
        <v>0</v>
      </c>
      <c r="Q92" s="124">
        <f>'Расходы фисташки по годам'!P25/$T$71*$G$4</f>
        <v>0</v>
      </c>
      <c r="R92" s="124">
        <f>'Расходы фисташки по годам'!Q25/$T$71*$G$4</f>
        <v>0</v>
      </c>
      <c r="S92" s="124">
        <f>'Расходы фисташки по годам'!R25/$T$71*$G$4</f>
        <v>0</v>
      </c>
      <c r="T92" s="124">
        <f>'Расходы фисташки по годам'!S25/$T$71*$G$4</f>
        <v>0</v>
      </c>
    </row>
    <row r="93" spans="2:20" ht="13.5">
      <c r="B93" s="124" t="s">
        <v>166</v>
      </c>
      <c r="C93" s="124">
        <f>'Расходы фисташки по годам'!B26/1000*G4</f>
        <v>79.17</v>
      </c>
      <c r="D93" s="124">
        <f>'Расходы фисташки по годам'!C26/$T$71*$G$4</f>
        <v>79.17</v>
      </c>
      <c r="E93" s="124">
        <f>'Расходы фисташки по годам'!D26/$T$71*$G$4</f>
        <v>79.17</v>
      </c>
      <c r="F93" s="124">
        <f>'Расходы фисташки по годам'!E26/$T$71*$G$4</f>
        <v>79.17</v>
      </c>
      <c r="G93" s="124">
        <f>'Расходы фисташки по годам'!F26/$T$71*$G$4</f>
        <v>79.17</v>
      </c>
      <c r="H93" s="124">
        <f>'Расходы фисташки по годам'!G26/$T$71*$G$4</f>
        <v>79.17</v>
      </c>
      <c r="I93" s="124">
        <f>'Расходы фисташки по годам'!H26/$T$71*$G$4</f>
        <v>79.17</v>
      </c>
      <c r="J93" s="124">
        <f>'Расходы фисташки по годам'!I26/$T$71*$G$4</f>
        <v>79.17</v>
      </c>
      <c r="K93" s="124">
        <f>'Расходы фисташки по годам'!J26/$T$71*$G$4</f>
        <v>79.17</v>
      </c>
      <c r="L93" s="124">
        <f>'Расходы фисташки по годам'!K26/$T$71*$G$4</f>
        <v>79.17</v>
      </c>
      <c r="M93" s="124">
        <f>'Расходы фисташки по годам'!L26/$T$71*$G$4</f>
        <v>79.17</v>
      </c>
      <c r="N93" s="124">
        <f>'Расходы фисташки по годам'!M26/$T$71*$G$4</f>
        <v>79.17</v>
      </c>
      <c r="O93" s="124">
        <f>'Расходы фисташки по годам'!N26/$T$71*$G$4</f>
        <v>79.17</v>
      </c>
      <c r="P93" s="124">
        <f>'Расходы фисташки по годам'!O26/$T$71*$G$4</f>
        <v>79.17</v>
      </c>
      <c r="Q93" s="124">
        <f>'Расходы фисташки по годам'!P26/$T$71*$G$4</f>
        <v>79.17</v>
      </c>
      <c r="R93" s="124">
        <f>'Расходы фисташки по годам'!Q26/$T$71*$G$4</f>
        <v>0</v>
      </c>
      <c r="S93" s="124">
        <f>'Расходы фисташки по годам'!R26/$T$71*$G$4</f>
        <v>0</v>
      </c>
      <c r="T93" s="124">
        <f>'Расходы фисташки по годам'!S26/$T$71*$G$4</f>
        <v>237.51</v>
      </c>
    </row>
    <row r="94" spans="2:20" ht="27">
      <c r="B94" s="125" t="s">
        <v>185</v>
      </c>
      <c r="C94" s="124">
        <f>'Расходы фисташки по годам'!B27/1000*G4</f>
        <v>73.755</v>
      </c>
      <c r="D94" s="124">
        <f>'Расходы фисташки по годам'!C27/$T$71*$G$4</f>
        <v>73.755</v>
      </c>
      <c r="E94" s="124">
        <f>'Расходы фисташки по годам'!D27/$T$71*$G$4</f>
        <v>73.755</v>
      </c>
      <c r="F94" s="124">
        <f>'Расходы фисташки по годам'!E27/$T$71*$G$4</f>
        <v>73.755</v>
      </c>
      <c r="G94" s="124">
        <f>'Расходы фисташки по годам'!F27/$T$71*$G$4</f>
        <v>73.755</v>
      </c>
      <c r="H94" s="124">
        <f>'Расходы фисташки по годам'!G27/$T$71*$G$4</f>
        <v>73.755</v>
      </c>
      <c r="I94" s="124">
        <f>'Расходы фисташки по годам'!H27/$T$71*$G$4</f>
        <v>73.755</v>
      </c>
      <c r="J94" s="124">
        <f>'Расходы фисташки по годам'!I27/$T$71*$G$4</f>
        <v>73.755</v>
      </c>
      <c r="K94" s="124">
        <f>'Расходы фисташки по годам'!J27/$T$71*$G$4</f>
        <v>73.755</v>
      </c>
      <c r="L94" s="124">
        <f>'Расходы фисташки по годам'!K27/$T$71*$G$4</f>
        <v>73.755</v>
      </c>
      <c r="M94" s="124">
        <f>'Расходы фисташки по годам'!L27/$T$71*$G$4</f>
        <v>73.755</v>
      </c>
      <c r="N94" s="124">
        <f>'Расходы фисташки по годам'!M27/$T$71*$G$4</f>
        <v>73.755</v>
      </c>
      <c r="O94" s="124">
        <f>'Расходы фисташки по годам'!N27/$T$71*$G$4</f>
        <v>73.755</v>
      </c>
      <c r="P94" s="124">
        <f>'Расходы фисташки по годам'!O27/$T$71*$G$4</f>
        <v>73.755</v>
      </c>
      <c r="Q94" s="124">
        <f>'Расходы фисташки по годам'!P27/$T$71*$G$4</f>
        <v>73.755</v>
      </c>
      <c r="R94" s="124">
        <f>'Расходы фисташки по годам'!Q27/$T$71*$G$4</f>
        <v>0</v>
      </c>
      <c r="S94" s="124">
        <f>'Расходы фисташки по годам'!R27/$T$71*$G$4</f>
        <v>0</v>
      </c>
      <c r="T94" s="124">
        <f>'Расходы фисташки по годам'!S27/$T$71*$G$4</f>
        <v>221.265</v>
      </c>
    </row>
    <row r="95" spans="2:20" ht="27">
      <c r="B95" s="125" t="s">
        <v>80</v>
      </c>
      <c r="C95" s="124">
        <f>'Расходы фисташки по годам'!B28/1000*G4</f>
        <v>125</v>
      </c>
      <c r="D95" s="124">
        <f>'Расходы фисташки по годам'!C28/$T$71*$G$4</f>
        <v>125</v>
      </c>
      <c r="E95" s="124">
        <f>'Расходы фисташки по годам'!D28/$T$71*$G$4</f>
        <v>0</v>
      </c>
      <c r="F95" s="124">
        <f>'Расходы фисташки по годам'!E28/$T$71*$G$4</f>
        <v>0</v>
      </c>
      <c r="G95" s="124">
        <f>'Расходы фисташки по годам'!F28/$T$71*$G$4</f>
        <v>0</v>
      </c>
      <c r="H95" s="124">
        <f>'Расходы фисташки по годам'!G28/$T$71*$G$4</f>
        <v>0</v>
      </c>
      <c r="I95" s="124">
        <f>'Расходы фисташки по годам'!H28/$T$71*$G$4</f>
        <v>0</v>
      </c>
      <c r="J95" s="124">
        <f>'Расходы фисташки по годам'!I28/$T$71*$G$4</f>
        <v>0</v>
      </c>
      <c r="K95" s="124">
        <f>'Расходы фисташки по годам'!J28/$T$71*$G$4</f>
        <v>0</v>
      </c>
      <c r="L95" s="124">
        <f>'Расходы фисташки по годам'!K28/$T$71*$G$4</f>
        <v>0</v>
      </c>
      <c r="M95" s="124">
        <f>'Расходы фисташки по годам'!L28/$T$71*$G$4</f>
        <v>0</v>
      </c>
      <c r="N95" s="124">
        <f>'Расходы фисташки по годам'!M28/$T$71*$G$4</f>
        <v>0</v>
      </c>
      <c r="O95" s="124">
        <f>'Расходы фисташки по годам'!N28/$T$71*$G$4</f>
        <v>0</v>
      </c>
      <c r="P95" s="124">
        <f>'Расходы фисташки по годам'!O28/$T$71*$G$4</f>
        <v>0</v>
      </c>
      <c r="Q95" s="124">
        <f>'Расходы фисташки по годам'!P28/$T$71*$G$4</f>
        <v>0</v>
      </c>
      <c r="R95" s="124">
        <f>'Расходы фисташки по годам'!Q28/$T$71*$G$4</f>
        <v>0</v>
      </c>
      <c r="S95" s="124">
        <f>'Расходы фисташки по годам'!R28/$T$71*$G$4</f>
        <v>0</v>
      </c>
      <c r="T95" s="124">
        <f>'Расходы фисташки по годам'!S28/$T$71*$G$4</f>
        <v>0</v>
      </c>
    </row>
    <row r="96" spans="2:20" ht="13.5">
      <c r="B96" s="125" t="s">
        <v>84</v>
      </c>
      <c r="C96" s="124">
        <f>'Расходы фисташки по годам'!B29/1000*G4</f>
        <v>447.615</v>
      </c>
      <c r="D96" s="124">
        <f>'Расходы фисташки по годам'!C29/$T$71*$G$4</f>
        <v>596.82</v>
      </c>
      <c r="E96" s="124">
        <f>'Расходы фисташки по годам'!D29/$T$71*$G$4</f>
        <v>596.82</v>
      </c>
      <c r="F96" s="124">
        <f>'Расходы фисташки по годам'!E29/$T$71*$G$4</f>
        <v>596.82</v>
      </c>
      <c r="G96" s="124">
        <f>'Расходы фисташки по годам'!F29/$T$71*$G$4</f>
        <v>596.82</v>
      </c>
      <c r="H96" s="124">
        <f>'Расходы фисташки по годам'!G29/$T$71*$G$4</f>
        <v>596.82</v>
      </c>
      <c r="I96" s="124">
        <f>'Расходы фисташки по годам'!H29/$T$71*$G$4</f>
        <v>596.82</v>
      </c>
      <c r="J96" s="124">
        <f>'Расходы фисташки по годам'!I29/$T$71*$G$4</f>
        <v>596.82</v>
      </c>
      <c r="K96" s="124">
        <f>'Расходы фисташки по годам'!J29/$T$71*$G$4</f>
        <v>596.82</v>
      </c>
      <c r="L96" s="124">
        <f>'Расходы фисташки по годам'!K29/$T$71*$G$4</f>
        <v>596.82</v>
      </c>
      <c r="M96" s="124">
        <f>'Расходы фисташки по годам'!L29/$T$71*$G$4</f>
        <v>596.82</v>
      </c>
      <c r="N96" s="124">
        <f>'Расходы фисташки по годам'!M29/$T$71*$G$4</f>
        <v>596.82</v>
      </c>
      <c r="O96" s="124">
        <f>'Расходы фисташки по годам'!N29/$T$71*$G$4</f>
        <v>596.82</v>
      </c>
      <c r="P96" s="124">
        <f>'Расходы фисташки по годам'!O29/$T$71*$G$4</f>
        <v>596.82</v>
      </c>
      <c r="Q96" s="124">
        <f>'Расходы фисташки по годам'!P29/$T$71*$G$4</f>
        <v>596.82</v>
      </c>
      <c r="R96" s="124">
        <f>'Расходы фисташки по годам'!Q29/$T$71*$G$4</f>
        <v>596.82</v>
      </c>
      <c r="S96" s="124">
        <f>'Расходы фисташки по годам'!R29/$T$71*$G$4</f>
        <v>596.82</v>
      </c>
      <c r="T96" s="124">
        <f>'Расходы фисташки по годам'!S29/$T$71*$G$4</f>
        <v>596.82</v>
      </c>
    </row>
    <row r="97" spans="2:20" ht="13.5">
      <c r="B97" s="124" t="s">
        <v>168</v>
      </c>
      <c r="C97" s="124">
        <f>'Расходы фисташки по годам'!B30/1000*G4</f>
        <v>0</v>
      </c>
      <c r="D97" s="124">
        <f>'Расходы фисташки по годам'!C30/$T$71*$G$4</f>
        <v>0</v>
      </c>
      <c r="E97" s="124">
        <f>'Расходы фисташки по годам'!D30/$T$71*$G$4</f>
        <v>1000</v>
      </c>
      <c r="F97" s="124">
        <f>'Расходы фисташки по годам'!E30/$T$71*$G$4</f>
        <v>0</v>
      </c>
      <c r="G97" s="124">
        <f>'Расходы фисташки по годам'!F30/$T$71*$G$4</f>
        <v>0</v>
      </c>
      <c r="H97" s="124">
        <f>'Расходы фисташки по годам'!G30/$T$71*$G$4</f>
        <v>0</v>
      </c>
      <c r="I97" s="124">
        <f>'Расходы фисташки по годам'!H30/$T$71*$G$4</f>
        <v>0</v>
      </c>
      <c r="J97" s="124">
        <f>'Расходы фисташки по годам'!I30/$T$71*$G$4</f>
        <v>0</v>
      </c>
      <c r="K97" s="124">
        <f>'Расходы фисташки по годам'!J30/$T$71*$G$4</f>
        <v>0</v>
      </c>
      <c r="L97" s="124">
        <f>'Расходы фисташки по годам'!K30/$T$71*$G$4</f>
        <v>0</v>
      </c>
      <c r="M97" s="124">
        <f>'Расходы фисташки по годам'!L30/$T$71*$G$4</f>
        <v>0</v>
      </c>
      <c r="N97" s="124">
        <f>'Расходы фисташки по годам'!M30/$T$71*$G$4</f>
        <v>0</v>
      </c>
      <c r="O97" s="124">
        <f>'Расходы фисташки по годам'!N30/$T$71*$G$4</f>
        <v>0</v>
      </c>
      <c r="P97" s="124">
        <f>'Расходы фисташки по годам'!O30/$T$71*$G$4</f>
        <v>0</v>
      </c>
      <c r="Q97" s="124">
        <f>'Расходы фисташки по годам'!P30/$T$71*$G$4</f>
        <v>0</v>
      </c>
      <c r="R97" s="124">
        <f>'Расходы фисташки по годам'!Q30/$T$71*$G$4</f>
        <v>0</v>
      </c>
      <c r="S97" s="124">
        <f>'Расходы фисташки по годам'!R30/$T$71*$G$4</f>
        <v>0</v>
      </c>
      <c r="T97" s="124">
        <f>'Расходы фисташки по годам'!S30/$T$71*$G$4</f>
        <v>0</v>
      </c>
    </row>
    <row r="98" spans="2:20" ht="13.5">
      <c r="B98" s="124" t="s">
        <v>117</v>
      </c>
      <c r="C98" s="124">
        <f>'Расходы фисташки по годам'!B31/1000*G4</f>
        <v>0</v>
      </c>
      <c r="D98" s="124">
        <f>'Расходы фисташки по годам'!C31/$T$71*$G$4</f>
        <v>0</v>
      </c>
      <c r="E98" s="124">
        <f>'Расходы фисташки по годам'!D31/$T$71*$G$4</f>
        <v>0</v>
      </c>
      <c r="F98" s="124">
        <f>'Расходы фисташки по годам'!E31/$T$71*$G$4</f>
        <v>0</v>
      </c>
      <c r="G98" s="124">
        <f>'Расходы фисташки по годам'!F31/$T$71*$G$4</f>
        <v>0</v>
      </c>
      <c r="H98" s="124">
        <f>'Расходы фисташки по годам'!G31/$T$71*$G$4</f>
        <v>0</v>
      </c>
      <c r="I98" s="124">
        <f>'Расходы фисташки по годам'!H31/$T$71*$G$4</f>
        <v>0</v>
      </c>
      <c r="J98" s="124">
        <f>'Расходы фисташки по годам'!I31/$T$71*$G$4</f>
        <v>0</v>
      </c>
      <c r="K98" s="124">
        <f>'Расходы фисташки по годам'!J31/$T$71*$G$4</f>
        <v>0</v>
      </c>
      <c r="L98" s="124">
        <f>'Расходы фисташки по годам'!K31/$T$71*$G$4</f>
        <v>0</v>
      </c>
      <c r="M98" s="124">
        <f>'Расходы фисташки по годам'!L31/$T$71*$G$4</f>
        <v>45</v>
      </c>
      <c r="N98" s="124">
        <f>'Расходы фисташки по годам'!M31/$T$71*$G$4</f>
        <v>45</v>
      </c>
      <c r="O98" s="124">
        <f>'Расходы фисташки по годам'!N31/$T$71*$G$4</f>
        <v>60</v>
      </c>
      <c r="P98" s="124">
        <f>'Расходы фисташки по годам'!O31/$T$71*$G$4</f>
        <v>75</v>
      </c>
      <c r="Q98" s="124">
        <f>'Расходы фисташки по годам'!P31/$T$71*$G$4</f>
        <v>0</v>
      </c>
      <c r="R98" s="124">
        <f>'Расходы фисташки по годам'!Q31/$T$71*$G$4</f>
        <v>225</v>
      </c>
      <c r="S98" s="124">
        <f>'Расходы фисташки по годам'!R31/$T$71*$G$4</f>
        <v>225</v>
      </c>
      <c r="T98" s="124">
        <f>'Расходы фисташки по годам'!S31/$T$71*$G$4</f>
        <v>255</v>
      </c>
    </row>
    <row r="99" spans="2:20" ht="13.5">
      <c r="B99" s="124" t="s">
        <v>118</v>
      </c>
      <c r="C99" s="124">
        <v>0</v>
      </c>
      <c r="D99" s="126">
        <v>0</v>
      </c>
      <c r="E99" s="126">
        <v>0</v>
      </c>
      <c r="F99" s="126">
        <f>150*0.4*G4</f>
        <v>60</v>
      </c>
      <c r="G99" s="126">
        <f>150*0.7*G4</f>
        <v>105</v>
      </c>
      <c r="H99" s="126">
        <f>150*0.9*G4</f>
        <v>135</v>
      </c>
      <c r="I99" s="126">
        <f>150*$G$4</f>
        <v>150</v>
      </c>
      <c r="J99" s="126">
        <f aca="true" t="shared" si="26" ref="J99:T99">150*$G$4</f>
        <v>150</v>
      </c>
      <c r="K99" s="126">
        <f t="shared" si="26"/>
        <v>150</v>
      </c>
      <c r="L99" s="126">
        <f t="shared" si="26"/>
        <v>150</v>
      </c>
      <c r="M99" s="126">
        <f t="shared" si="26"/>
        <v>150</v>
      </c>
      <c r="N99" s="126">
        <f t="shared" si="26"/>
        <v>150</v>
      </c>
      <c r="O99" s="126">
        <f t="shared" si="26"/>
        <v>150</v>
      </c>
      <c r="P99" s="126">
        <f t="shared" si="26"/>
        <v>150</v>
      </c>
      <c r="Q99" s="126">
        <f t="shared" si="26"/>
        <v>150</v>
      </c>
      <c r="R99" s="126">
        <f t="shared" si="26"/>
        <v>150</v>
      </c>
      <c r="S99" s="126">
        <f t="shared" si="26"/>
        <v>150</v>
      </c>
      <c r="T99" s="126">
        <f t="shared" si="26"/>
        <v>150</v>
      </c>
    </row>
    <row r="100" spans="2:21" ht="13.5">
      <c r="B100" s="127" t="s">
        <v>119</v>
      </c>
      <c r="C100" s="128">
        <f>C79-C88-C90</f>
        <v>2518.4392</v>
      </c>
      <c r="D100" s="43">
        <f aca="true" t="shared" si="27" ref="D100:T100">D73+D79</f>
        <v>1091.145</v>
      </c>
      <c r="E100" s="43">
        <f t="shared" si="27"/>
        <v>1874.545</v>
      </c>
      <c r="F100" s="43">
        <f t="shared" si="27"/>
        <v>934.5450000000001</v>
      </c>
      <c r="G100" s="43">
        <f t="shared" si="27"/>
        <v>979.5450000000001</v>
      </c>
      <c r="H100" s="43">
        <f t="shared" si="27"/>
        <v>1009.5450000000001</v>
      </c>
      <c r="I100" s="43">
        <f t="shared" si="27"/>
        <v>1024.545</v>
      </c>
      <c r="J100" s="43">
        <f t="shared" si="27"/>
        <v>1024.545</v>
      </c>
      <c r="K100" s="43">
        <f t="shared" si="27"/>
        <v>1024.545</v>
      </c>
      <c r="L100" s="43">
        <f t="shared" si="27"/>
        <v>1024.545</v>
      </c>
      <c r="M100" s="43">
        <f t="shared" si="27"/>
        <v>1069.545</v>
      </c>
      <c r="N100" s="43">
        <f t="shared" si="27"/>
        <v>1069.545</v>
      </c>
      <c r="O100" s="43">
        <f t="shared" si="27"/>
        <v>1084.545</v>
      </c>
      <c r="P100" s="43">
        <f t="shared" si="27"/>
        <v>1099.545</v>
      </c>
      <c r="Q100" s="43">
        <f t="shared" si="27"/>
        <v>1024.545</v>
      </c>
      <c r="R100" s="43">
        <f t="shared" si="27"/>
        <v>1096.62</v>
      </c>
      <c r="S100" s="43">
        <f t="shared" si="27"/>
        <v>1096.62</v>
      </c>
      <c r="T100" s="43">
        <f t="shared" si="27"/>
        <v>1585.395</v>
      </c>
      <c r="U100" s="12">
        <f>1062.5*16</f>
        <v>17000</v>
      </c>
    </row>
    <row r="101" spans="2:21" ht="13.5">
      <c r="B101" s="68" t="s">
        <v>114</v>
      </c>
      <c r="C101" s="135">
        <f>C88+C90+C99</f>
        <v>181</v>
      </c>
      <c r="D101" s="135">
        <f aca="true" t="shared" si="28" ref="D101:T101">D88+D90+D99</f>
        <v>0</v>
      </c>
      <c r="E101" s="135">
        <f t="shared" si="28"/>
        <v>0</v>
      </c>
      <c r="F101" s="135">
        <f t="shared" si="28"/>
        <v>60</v>
      </c>
      <c r="G101" s="135">
        <f t="shared" si="28"/>
        <v>105</v>
      </c>
      <c r="H101" s="135">
        <f t="shared" si="28"/>
        <v>135</v>
      </c>
      <c r="I101" s="135">
        <f t="shared" si="28"/>
        <v>150</v>
      </c>
      <c r="J101" s="135">
        <f t="shared" si="28"/>
        <v>150</v>
      </c>
      <c r="K101" s="135">
        <f t="shared" si="28"/>
        <v>150</v>
      </c>
      <c r="L101" s="135">
        <f t="shared" si="28"/>
        <v>150</v>
      </c>
      <c r="M101" s="135">
        <f t="shared" si="28"/>
        <v>150</v>
      </c>
      <c r="N101" s="135">
        <f t="shared" si="28"/>
        <v>150</v>
      </c>
      <c r="O101" s="135">
        <f t="shared" si="28"/>
        <v>150</v>
      </c>
      <c r="P101" s="135">
        <f t="shared" si="28"/>
        <v>150</v>
      </c>
      <c r="Q101" s="135">
        <f t="shared" si="28"/>
        <v>150</v>
      </c>
      <c r="R101" s="135">
        <f t="shared" si="28"/>
        <v>150</v>
      </c>
      <c r="S101" s="135">
        <f t="shared" si="28"/>
        <v>150</v>
      </c>
      <c r="T101" s="135">
        <f t="shared" si="28"/>
        <v>150</v>
      </c>
      <c r="U101" s="46"/>
    </row>
    <row r="102" spans="2:20" ht="27">
      <c r="B102" s="129" t="s">
        <v>186</v>
      </c>
      <c r="C102" s="130">
        <f>(C103+C104+C105+C106)/4</f>
        <v>222.3125</v>
      </c>
      <c r="D102" s="130">
        <f aca="true" t="shared" si="29" ref="D102:T102">(D103+D104+D105+D106)/4</f>
        <v>183.3125</v>
      </c>
      <c r="E102" s="130">
        <f t="shared" si="29"/>
        <v>183.3125</v>
      </c>
      <c r="F102" s="130">
        <f t="shared" si="29"/>
        <v>183.3125</v>
      </c>
      <c r="G102" s="130">
        <f t="shared" si="29"/>
        <v>183.3125</v>
      </c>
      <c r="H102" s="130">
        <f t="shared" si="29"/>
        <v>222.3125</v>
      </c>
      <c r="I102" s="130">
        <f t="shared" si="29"/>
        <v>183.3125</v>
      </c>
      <c r="J102" s="130">
        <f t="shared" si="29"/>
        <v>183.3125</v>
      </c>
      <c r="K102" s="130">
        <f t="shared" si="29"/>
        <v>183.3125</v>
      </c>
      <c r="L102" s="130">
        <f t="shared" si="29"/>
        <v>183.3125</v>
      </c>
      <c r="M102" s="106">
        <f t="shared" si="29"/>
        <v>0</v>
      </c>
      <c r="N102" s="106">
        <f t="shared" si="29"/>
        <v>0</v>
      </c>
      <c r="O102" s="106">
        <f t="shared" si="29"/>
        <v>0</v>
      </c>
      <c r="P102" s="106">
        <f t="shared" si="29"/>
        <v>0</v>
      </c>
      <c r="Q102" s="106">
        <f t="shared" si="29"/>
        <v>0</v>
      </c>
      <c r="R102" s="106">
        <f t="shared" si="29"/>
        <v>0</v>
      </c>
      <c r="S102" s="106">
        <f t="shared" si="29"/>
        <v>0</v>
      </c>
      <c r="T102" s="106">
        <f t="shared" si="29"/>
        <v>0</v>
      </c>
    </row>
    <row r="103" spans="2:20" s="16" customFormat="1" ht="13.5">
      <c r="B103" s="107" t="s">
        <v>4</v>
      </c>
      <c r="C103" s="131">
        <f>('Расчет затрат междур'!B8)/$T$71*$G$4</f>
        <v>174.75</v>
      </c>
      <c r="D103" s="131">
        <f>('Расчет затрат междур'!C8)/$T$71*$G$4</f>
        <v>174.75</v>
      </c>
      <c r="E103" s="131">
        <f>('Расчет затрат междур'!D8)/$T$71*$G$4</f>
        <v>174.75</v>
      </c>
      <c r="F103" s="131">
        <f>('Расчет затрат междур'!E8)/$T$71*$G$4</f>
        <v>174.75</v>
      </c>
      <c r="G103" s="131">
        <f>('Расчет затрат междур'!F8)/$T$71*$G$4</f>
        <v>174.75</v>
      </c>
      <c r="H103" s="131">
        <f>('Расчет затрат междур'!G8)/$T$71*$G$4</f>
        <v>174.75</v>
      </c>
      <c r="I103" s="131">
        <f>('Расчет затрат междур'!H8)/$T$71*$G$4</f>
        <v>174.75</v>
      </c>
      <c r="J103" s="131">
        <f>('Расчет затрат междур'!I8)/$T$71*$G$4</f>
        <v>174.75</v>
      </c>
      <c r="K103" s="131">
        <f>('Расчет затрат междур'!J8)/$T$71*$G$4</f>
        <v>174.75</v>
      </c>
      <c r="L103" s="131">
        <f>('Расчет затрат междур'!K8)/$T$71*$G$4</f>
        <v>174.75</v>
      </c>
      <c r="M103" s="131">
        <f>('Расчет затрат междур'!L8)/$T$71*$G$4</f>
        <v>0</v>
      </c>
      <c r="N103" s="131">
        <f>('Расчет затрат междур'!M8)/$T$71*$G$4</f>
        <v>0</v>
      </c>
      <c r="O103" s="131">
        <f>('Расчет затрат междур'!N8)/$T$71*$G$4</f>
        <v>0</v>
      </c>
      <c r="P103" s="131">
        <f>('Расчет затрат междур'!O8)/$T$71*$G$4</f>
        <v>0</v>
      </c>
      <c r="Q103" s="131">
        <f>('Расчет затрат междур'!P8)/$T$71*$G$4</f>
        <v>0</v>
      </c>
      <c r="R103" s="131">
        <f>('Расчет затрат междур'!Q8)/$T$71*$G$4</f>
        <v>0</v>
      </c>
      <c r="S103" s="131">
        <f>('Расчет затрат междур'!R8)/$T$71*$G$4</f>
        <v>0</v>
      </c>
      <c r="T103" s="131">
        <f>('Расчет затрат междур'!S8)/$T$71*$G$4</f>
        <v>0</v>
      </c>
    </row>
    <row r="104" spans="2:20" s="16" customFormat="1" ht="13.5">
      <c r="B104" s="107" t="s">
        <v>5</v>
      </c>
      <c r="C104" s="131">
        <f>('Расчет затрат междур'!B9)/$T$71*$G$4</f>
        <v>262.5</v>
      </c>
      <c r="D104" s="131">
        <f>('Расчет затрат междур'!C9)/$T$71*$G$4</f>
        <v>262.5</v>
      </c>
      <c r="E104" s="131">
        <f>('Расчет затрат междур'!D9)/$T$71*$G$4</f>
        <v>262.5</v>
      </c>
      <c r="F104" s="131">
        <f>('Расчет затрат междур'!E9)/$T$71*$G$4</f>
        <v>262.5</v>
      </c>
      <c r="G104" s="131">
        <f>('Расчет затрат междур'!F9)/$T$71*$G$4</f>
        <v>262.5</v>
      </c>
      <c r="H104" s="131">
        <f>('Расчет затрат междур'!G9)/$T$71*$G$4</f>
        <v>262.5</v>
      </c>
      <c r="I104" s="131">
        <f>('Расчет затрат междур'!H9)/$T$71*$G$4</f>
        <v>262.5</v>
      </c>
      <c r="J104" s="131">
        <f>('Расчет затрат междур'!I9)/$T$71*$G$4</f>
        <v>262.5</v>
      </c>
      <c r="K104" s="131">
        <f>('Расчет затрат междур'!J9)/$T$71*$G$4</f>
        <v>262.5</v>
      </c>
      <c r="L104" s="131">
        <f>('Расчет затрат междур'!K9)/$T$71*$G$4</f>
        <v>262.5</v>
      </c>
      <c r="M104" s="131">
        <f>('Расчет затрат междур'!L9)/$T$71*$G$4</f>
        <v>0</v>
      </c>
      <c r="N104" s="131">
        <f>('Расчет затрат междур'!M9)/$T$71*$G$4</f>
        <v>0</v>
      </c>
      <c r="O104" s="131">
        <f>('Расчет затрат междур'!N9)/$T$71*$G$4</f>
        <v>0</v>
      </c>
      <c r="P104" s="131">
        <f>('Расчет затрат междур'!O9)/$T$71*$G$4</f>
        <v>0</v>
      </c>
      <c r="Q104" s="131">
        <f>('Расчет затрат междур'!P9)/$T$71*$G$4</f>
        <v>0</v>
      </c>
      <c r="R104" s="131">
        <f>('Расчет затрат междур'!Q9)/$T$71*$G$4</f>
        <v>0</v>
      </c>
      <c r="S104" s="131">
        <f>('Расчет затрат междур'!R9)/$T$71*$G$4</f>
        <v>0</v>
      </c>
      <c r="T104" s="131">
        <f>('Расчет затрат междур'!S9)/$T$71*$G$4</f>
        <v>0</v>
      </c>
    </row>
    <row r="105" spans="2:20" s="16" customFormat="1" ht="13.5">
      <c r="B105" s="107" t="s">
        <v>6</v>
      </c>
      <c r="C105" s="131">
        <f>('Расчет затрат междур'!B10)/$T$71*$G$4</f>
        <v>256</v>
      </c>
      <c r="D105" s="131">
        <f>('Расчет затрат междур'!C10)/$T$71*$G$4</f>
        <v>256</v>
      </c>
      <c r="E105" s="131">
        <f>('Расчет затрат междур'!D10)/$T$71*$G$4</f>
        <v>256</v>
      </c>
      <c r="F105" s="131">
        <f>('Расчет затрат междур'!E10)/$T$71*$G$4</f>
        <v>256</v>
      </c>
      <c r="G105" s="131">
        <f>('Расчет затрат междур'!F10)/$T$71*$G$4</f>
        <v>256</v>
      </c>
      <c r="H105" s="131">
        <f>('Расчет затрат междур'!G10)/$T$71*$G$4</f>
        <v>256</v>
      </c>
      <c r="I105" s="131">
        <f>('Расчет затрат междур'!H10)/$T$71*$G$4</f>
        <v>256</v>
      </c>
      <c r="J105" s="131">
        <f>('Расчет затрат междур'!I10)/$T$71*$G$4</f>
        <v>256</v>
      </c>
      <c r="K105" s="131">
        <f>('Расчет затрат междур'!J10)/$T$71*$G$4</f>
        <v>256</v>
      </c>
      <c r="L105" s="131">
        <f>('Расчет затрат междур'!K10)/$T$71*$G$4</f>
        <v>256</v>
      </c>
      <c r="M105" s="131">
        <f>('Расчет затрат междур'!L10)/$T$71*$G$4</f>
        <v>0</v>
      </c>
      <c r="N105" s="131">
        <f>('Расчет затрат междур'!M10)/$T$71*$G$4</f>
        <v>0</v>
      </c>
      <c r="O105" s="131">
        <f>('Расчет затрат междур'!N10)/$T$71*$G$4</f>
        <v>0</v>
      </c>
      <c r="P105" s="131">
        <f>('Расчет затрат междур'!O10)/$T$71*$G$4</f>
        <v>0</v>
      </c>
      <c r="Q105" s="131">
        <f>('Расчет затрат междур'!P10)/$T$71*$G$4</f>
        <v>0</v>
      </c>
      <c r="R105" s="131">
        <f>('Расчет затрат междур'!Q10)/$T$71*$G$4</f>
        <v>0</v>
      </c>
      <c r="S105" s="131">
        <f>('Расчет затрат междур'!R10)/$T$71*$G$4</f>
        <v>0</v>
      </c>
      <c r="T105" s="131">
        <f>('Расчет затрат междур'!S10)/$T$71*$G$4</f>
        <v>0</v>
      </c>
    </row>
    <row r="106" spans="2:20" s="16" customFormat="1" ht="13.5">
      <c r="B106" s="107" t="s">
        <v>7</v>
      </c>
      <c r="C106" s="131">
        <f>('Расчет затрат междур'!B11)/$T$71*$G$4</f>
        <v>196</v>
      </c>
      <c r="D106" s="131">
        <f>('Расчет затрат междур'!C11)/$T$71*$G$4</f>
        <v>40</v>
      </c>
      <c r="E106" s="131">
        <f>('Расчет затрат междур'!D11)/$T$71*$G$4</f>
        <v>40</v>
      </c>
      <c r="F106" s="131">
        <f>('Расчет затрат междур'!E11)/$T$71*$G$4</f>
        <v>40</v>
      </c>
      <c r="G106" s="131">
        <f>('Расчет затрат междур'!F11)/$T$71*$G$4</f>
        <v>40</v>
      </c>
      <c r="H106" s="131">
        <f>('Расчет затрат междур'!G11)/$T$71*$G$4</f>
        <v>196</v>
      </c>
      <c r="I106" s="131">
        <f>('Расчет затрат междур'!H11)/$T$71*$G$4</f>
        <v>40</v>
      </c>
      <c r="J106" s="131">
        <f>('Расчет затрат междур'!I11)/$T$71*$G$4</f>
        <v>40</v>
      </c>
      <c r="K106" s="131">
        <f>('Расчет затрат междур'!J11)/$T$71*$G$4</f>
        <v>40</v>
      </c>
      <c r="L106" s="131">
        <f>('Расчет затрат междур'!K11)/$T$71*$G$4</f>
        <v>40</v>
      </c>
      <c r="M106" s="131">
        <f>('Расчет затрат междур'!L11)/$T$71*$G$4</f>
        <v>0</v>
      </c>
      <c r="N106" s="131">
        <f>('Расчет затрат междур'!M11)/$T$71*$G$4</f>
        <v>0</v>
      </c>
      <c r="O106" s="131">
        <f>('Расчет затрат междур'!N11)/$T$71*$G$4</f>
        <v>0</v>
      </c>
      <c r="P106" s="131">
        <f>('Расчет затрат междур'!O11)/$T$71*$G$4</f>
        <v>0</v>
      </c>
      <c r="Q106" s="131">
        <f>('Расчет затрат междур'!P11)/$T$71*$G$4</f>
        <v>0</v>
      </c>
      <c r="R106" s="131">
        <f>('Расчет затрат междур'!Q11)/$T$71*$G$4</f>
        <v>0</v>
      </c>
      <c r="S106" s="131">
        <f>('Расчет затрат междур'!R11)/$T$71*$G$4</f>
        <v>0</v>
      </c>
      <c r="T106" s="131">
        <f>('Расчет затрат междур'!S11)/$T$71*$G$4</f>
        <v>0</v>
      </c>
    </row>
    <row r="107" spans="2:20" ht="23.25" customHeight="1">
      <c r="B107" s="133" t="s">
        <v>120</v>
      </c>
      <c r="C107" s="134">
        <f>C100+C101+C102</f>
        <v>2921.7517</v>
      </c>
      <c r="D107" s="134">
        <f aca="true" t="shared" si="30" ref="D107:T107">D100+D102</f>
        <v>1274.4575</v>
      </c>
      <c r="E107" s="134">
        <f t="shared" si="30"/>
        <v>2057.8575</v>
      </c>
      <c r="F107" s="134">
        <f t="shared" si="30"/>
        <v>1117.8575</v>
      </c>
      <c r="G107" s="134">
        <f t="shared" si="30"/>
        <v>1162.8575</v>
      </c>
      <c r="H107" s="134">
        <f t="shared" si="30"/>
        <v>1231.8575</v>
      </c>
      <c r="I107" s="134">
        <f t="shared" si="30"/>
        <v>1207.8575</v>
      </c>
      <c r="J107" s="134">
        <f t="shared" si="30"/>
        <v>1207.8575</v>
      </c>
      <c r="K107" s="134">
        <f t="shared" si="30"/>
        <v>1207.8575</v>
      </c>
      <c r="L107" s="134">
        <f t="shared" si="30"/>
        <v>1207.8575</v>
      </c>
      <c r="M107" s="134">
        <f t="shared" si="30"/>
        <v>1069.545</v>
      </c>
      <c r="N107" s="134">
        <f t="shared" si="30"/>
        <v>1069.545</v>
      </c>
      <c r="O107" s="134">
        <f t="shared" si="30"/>
        <v>1084.545</v>
      </c>
      <c r="P107" s="134">
        <f t="shared" si="30"/>
        <v>1099.545</v>
      </c>
      <c r="Q107" s="134">
        <f t="shared" si="30"/>
        <v>1024.545</v>
      </c>
      <c r="R107" s="134">
        <f t="shared" si="30"/>
        <v>1096.62</v>
      </c>
      <c r="S107" s="134">
        <f t="shared" si="30"/>
        <v>1096.62</v>
      </c>
      <c r="T107" s="134">
        <f t="shared" si="30"/>
        <v>1585.395</v>
      </c>
    </row>
    <row r="108" spans="2:20" ht="13.5"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2:20" ht="13.5">
      <c r="B109" s="12" t="s">
        <v>116</v>
      </c>
      <c r="C109" s="37">
        <v>0.09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2:21" ht="13.5">
      <c r="B110" s="136" t="s">
        <v>97</v>
      </c>
      <c r="C110" s="137">
        <f>C100</f>
        <v>2518.4392</v>
      </c>
      <c r="D110" s="137">
        <f>D100*(1+$C$109*D72)</f>
        <v>1287.5511</v>
      </c>
      <c r="E110" s="137">
        <f aca="true" t="shared" si="31" ref="E110:T110">E100*(1+$C$109*E72)</f>
        <v>2380.6721500000003</v>
      </c>
      <c r="F110" s="137">
        <f t="shared" si="31"/>
        <v>1270.9812</v>
      </c>
      <c r="G110" s="137">
        <f t="shared" si="31"/>
        <v>1420.34025</v>
      </c>
      <c r="H110" s="137">
        <f t="shared" si="31"/>
        <v>1554.6993000000002</v>
      </c>
      <c r="I110" s="137">
        <f t="shared" si="31"/>
        <v>1670.00835</v>
      </c>
      <c r="J110" s="137">
        <f t="shared" si="31"/>
        <v>1762.2174</v>
      </c>
      <c r="K110" s="137">
        <f t="shared" si="31"/>
        <v>1854.4264500000002</v>
      </c>
      <c r="L110" s="137">
        <f t="shared" si="31"/>
        <v>1946.6355</v>
      </c>
      <c r="M110" s="137">
        <f t="shared" si="31"/>
        <v>2128.39455</v>
      </c>
      <c r="N110" s="137">
        <f t="shared" si="31"/>
        <v>2224.6536</v>
      </c>
      <c r="O110" s="137">
        <f t="shared" si="31"/>
        <v>2353.46265</v>
      </c>
      <c r="P110" s="137">
        <f t="shared" si="31"/>
        <v>2484.9717</v>
      </c>
      <c r="Q110" s="137">
        <f t="shared" si="31"/>
        <v>2407.68075</v>
      </c>
      <c r="R110" s="137">
        <f t="shared" si="31"/>
        <v>2675.7527999999998</v>
      </c>
      <c r="S110" s="137">
        <f t="shared" si="31"/>
        <v>2774.4486</v>
      </c>
      <c r="T110" s="137">
        <f t="shared" si="31"/>
        <v>4153.7349</v>
      </c>
      <c r="U110" s="124">
        <f aca="true" t="shared" si="32" ref="U110:U115">SUM(C110:T110)</f>
        <v>38869.07045000001</v>
      </c>
    </row>
    <row r="111" spans="2:21" ht="13.5">
      <c r="B111" s="33" t="s">
        <v>14</v>
      </c>
      <c r="C111" s="126">
        <f>C101</f>
        <v>181</v>
      </c>
      <c r="D111" s="126">
        <f>$D$101*(1+$C$109*$D$72)</f>
        <v>0</v>
      </c>
      <c r="E111" s="126">
        <f aca="true" t="shared" si="33" ref="E111:T111">E101*(1+$C$109*E72)</f>
        <v>0</v>
      </c>
      <c r="F111" s="126">
        <f t="shared" si="33"/>
        <v>81.6</v>
      </c>
      <c r="G111" s="126">
        <f t="shared" si="33"/>
        <v>152.25</v>
      </c>
      <c r="H111" s="126">
        <f t="shared" si="33"/>
        <v>207.9</v>
      </c>
      <c r="I111" s="126">
        <f t="shared" si="33"/>
        <v>244.49999999999997</v>
      </c>
      <c r="J111" s="126">
        <f t="shared" si="33"/>
        <v>258</v>
      </c>
      <c r="K111" s="126">
        <f t="shared" si="33"/>
        <v>271.5</v>
      </c>
      <c r="L111" s="126">
        <f t="shared" si="33"/>
        <v>285</v>
      </c>
      <c r="M111" s="126">
        <f t="shared" si="33"/>
        <v>298.5</v>
      </c>
      <c r="N111" s="126">
        <f t="shared" si="33"/>
        <v>312</v>
      </c>
      <c r="O111" s="126">
        <f t="shared" si="33"/>
        <v>325.5</v>
      </c>
      <c r="P111" s="126">
        <f t="shared" si="33"/>
        <v>338.99999999999994</v>
      </c>
      <c r="Q111" s="126">
        <f t="shared" si="33"/>
        <v>352.49999999999994</v>
      </c>
      <c r="R111" s="126">
        <f t="shared" si="33"/>
        <v>366</v>
      </c>
      <c r="S111" s="126">
        <f t="shared" si="33"/>
        <v>379.50000000000006</v>
      </c>
      <c r="T111" s="126">
        <f t="shared" si="33"/>
        <v>393</v>
      </c>
      <c r="U111" s="124">
        <f t="shared" si="32"/>
        <v>4447.75</v>
      </c>
    </row>
    <row r="112" spans="2:21" ht="13.5">
      <c r="B112" s="107" t="s">
        <v>4</v>
      </c>
      <c r="C112" s="126">
        <f>C103</f>
        <v>174.75</v>
      </c>
      <c r="D112" s="126">
        <f>D103*(1+$C$109*D72)</f>
        <v>206.20499999999998</v>
      </c>
      <c r="E112" s="126">
        <f aca="true" t="shared" si="34" ref="E112:T112">E103*(1+$C$109*E72)</f>
        <v>221.9325</v>
      </c>
      <c r="F112" s="126">
        <f t="shared" si="34"/>
        <v>237.65999999999997</v>
      </c>
      <c r="G112" s="126">
        <f t="shared" si="34"/>
        <v>253.3875</v>
      </c>
      <c r="H112" s="126">
        <f t="shared" si="34"/>
        <v>269.115</v>
      </c>
      <c r="I112" s="126">
        <f t="shared" si="34"/>
        <v>284.8425</v>
      </c>
      <c r="J112" s="126">
        <f t="shared" si="34"/>
        <v>300.57</v>
      </c>
      <c r="K112" s="126">
        <f t="shared" si="34"/>
        <v>316.2975</v>
      </c>
      <c r="L112" s="126">
        <f t="shared" si="34"/>
        <v>332.025</v>
      </c>
      <c r="M112" s="126">
        <f t="shared" si="34"/>
        <v>0</v>
      </c>
      <c r="N112" s="126">
        <f t="shared" si="34"/>
        <v>0</v>
      </c>
      <c r="O112" s="126">
        <f t="shared" si="34"/>
        <v>0</v>
      </c>
      <c r="P112" s="126">
        <f t="shared" si="34"/>
        <v>0</v>
      </c>
      <c r="Q112" s="126">
        <f t="shared" si="34"/>
        <v>0</v>
      </c>
      <c r="R112" s="126">
        <f t="shared" si="34"/>
        <v>0</v>
      </c>
      <c r="S112" s="126">
        <f t="shared" si="34"/>
        <v>0</v>
      </c>
      <c r="T112" s="126">
        <f t="shared" si="34"/>
        <v>0</v>
      </c>
      <c r="U112" s="124">
        <f t="shared" si="32"/>
        <v>2596.785</v>
      </c>
    </row>
    <row r="113" spans="2:21" ht="13.5">
      <c r="B113" s="107" t="s">
        <v>5</v>
      </c>
      <c r="C113" s="126">
        <f>C104</f>
        <v>262.5</v>
      </c>
      <c r="D113" s="126">
        <f>D104*(1+$C$109*D72)</f>
        <v>309.75</v>
      </c>
      <c r="E113" s="126">
        <f aca="true" t="shared" si="35" ref="E113:T113">E104*(1+$C$109*E72)</f>
        <v>333.375</v>
      </c>
      <c r="F113" s="126">
        <f t="shared" si="35"/>
        <v>356.99999999999994</v>
      </c>
      <c r="G113" s="126">
        <f t="shared" si="35"/>
        <v>380.625</v>
      </c>
      <c r="H113" s="126">
        <f t="shared" si="35"/>
        <v>404.25</v>
      </c>
      <c r="I113" s="126">
        <f t="shared" si="35"/>
        <v>427.875</v>
      </c>
      <c r="J113" s="126">
        <f t="shared" si="35"/>
        <v>451.5</v>
      </c>
      <c r="K113" s="126">
        <f t="shared" si="35"/>
        <v>475.125</v>
      </c>
      <c r="L113" s="126">
        <f t="shared" si="35"/>
        <v>498.75</v>
      </c>
      <c r="M113" s="126">
        <f t="shared" si="35"/>
        <v>0</v>
      </c>
      <c r="N113" s="126">
        <f t="shared" si="35"/>
        <v>0</v>
      </c>
      <c r="O113" s="126">
        <f t="shared" si="35"/>
        <v>0</v>
      </c>
      <c r="P113" s="126">
        <f t="shared" si="35"/>
        <v>0</v>
      </c>
      <c r="Q113" s="126">
        <f t="shared" si="35"/>
        <v>0</v>
      </c>
      <c r="R113" s="126">
        <f t="shared" si="35"/>
        <v>0</v>
      </c>
      <c r="S113" s="126">
        <f t="shared" si="35"/>
        <v>0</v>
      </c>
      <c r="T113" s="126">
        <f t="shared" si="35"/>
        <v>0</v>
      </c>
      <c r="U113" s="124">
        <f t="shared" si="32"/>
        <v>3900.75</v>
      </c>
    </row>
    <row r="114" spans="2:21" ht="13.5">
      <c r="B114" s="107" t="s">
        <v>6</v>
      </c>
      <c r="C114" s="126">
        <f>C105</f>
        <v>256</v>
      </c>
      <c r="D114" s="126">
        <f>D105*(1+$C$109*D72)</f>
        <v>302.08</v>
      </c>
      <c r="E114" s="126">
        <f aca="true" t="shared" si="36" ref="E114:T114">E105*(1+$C$109*E72)</f>
        <v>325.12</v>
      </c>
      <c r="F114" s="126">
        <f t="shared" si="36"/>
        <v>348.15999999999997</v>
      </c>
      <c r="G114" s="126">
        <f t="shared" si="36"/>
        <v>371.2</v>
      </c>
      <c r="H114" s="126">
        <f t="shared" si="36"/>
        <v>394.24</v>
      </c>
      <c r="I114" s="126">
        <f t="shared" si="36"/>
        <v>417.28</v>
      </c>
      <c r="J114" s="126">
        <f t="shared" si="36"/>
        <v>440.32</v>
      </c>
      <c r="K114" s="126">
        <f t="shared" si="36"/>
        <v>463.36</v>
      </c>
      <c r="L114" s="126">
        <f t="shared" si="36"/>
        <v>486.4</v>
      </c>
      <c r="M114" s="126">
        <f t="shared" si="36"/>
        <v>0</v>
      </c>
      <c r="N114" s="126">
        <f t="shared" si="36"/>
        <v>0</v>
      </c>
      <c r="O114" s="126">
        <f t="shared" si="36"/>
        <v>0</v>
      </c>
      <c r="P114" s="126">
        <f t="shared" si="36"/>
        <v>0</v>
      </c>
      <c r="Q114" s="126">
        <f t="shared" si="36"/>
        <v>0</v>
      </c>
      <c r="R114" s="126">
        <f t="shared" si="36"/>
        <v>0</v>
      </c>
      <c r="S114" s="126">
        <f t="shared" si="36"/>
        <v>0</v>
      </c>
      <c r="T114" s="126">
        <f t="shared" si="36"/>
        <v>0</v>
      </c>
      <c r="U114" s="124">
        <f t="shared" si="32"/>
        <v>3804.1600000000003</v>
      </c>
    </row>
    <row r="115" spans="2:21" ht="13.5">
      <c r="B115" s="139" t="s">
        <v>7</v>
      </c>
      <c r="C115" s="140">
        <f>C106</f>
        <v>196</v>
      </c>
      <c r="D115" s="140">
        <f>D106*(1+$C$109*D72)</f>
        <v>47.199999999999996</v>
      </c>
      <c r="E115" s="140">
        <f aca="true" t="shared" si="37" ref="E115:T115">E106*(1+$C$109*E72)</f>
        <v>50.8</v>
      </c>
      <c r="F115" s="140">
        <f t="shared" si="37"/>
        <v>54.39999999999999</v>
      </c>
      <c r="G115" s="140">
        <f t="shared" si="37"/>
        <v>58</v>
      </c>
      <c r="H115" s="140">
        <f t="shared" si="37"/>
        <v>301.84000000000003</v>
      </c>
      <c r="I115" s="140">
        <f t="shared" si="37"/>
        <v>65.19999999999999</v>
      </c>
      <c r="J115" s="140">
        <f t="shared" si="37"/>
        <v>68.8</v>
      </c>
      <c r="K115" s="140">
        <f t="shared" si="37"/>
        <v>72.4</v>
      </c>
      <c r="L115" s="140">
        <f t="shared" si="37"/>
        <v>76</v>
      </c>
      <c r="M115" s="140">
        <f t="shared" si="37"/>
        <v>0</v>
      </c>
      <c r="N115" s="140">
        <f t="shared" si="37"/>
        <v>0</v>
      </c>
      <c r="O115" s="140">
        <f t="shared" si="37"/>
        <v>0</v>
      </c>
      <c r="P115" s="140">
        <f t="shared" si="37"/>
        <v>0</v>
      </c>
      <c r="Q115" s="140">
        <f t="shared" si="37"/>
        <v>0</v>
      </c>
      <c r="R115" s="140">
        <f t="shared" si="37"/>
        <v>0</v>
      </c>
      <c r="S115" s="140">
        <f t="shared" si="37"/>
        <v>0</v>
      </c>
      <c r="T115" s="140">
        <f t="shared" si="37"/>
        <v>0</v>
      </c>
      <c r="U115" s="124">
        <f t="shared" si="32"/>
        <v>990.64</v>
      </c>
    </row>
    <row r="116" spans="2:21" ht="13.5" customHeight="1">
      <c r="B116" s="41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13"/>
    </row>
    <row r="117" spans="2:21" ht="13.5" customHeight="1">
      <c r="B117" s="12" t="s">
        <v>187</v>
      </c>
      <c r="C117" s="37">
        <v>0.14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13"/>
    </row>
    <row r="118" spans="2:21" ht="13.5" customHeight="1">
      <c r="B118" s="136" t="s">
        <v>97</v>
      </c>
      <c r="C118" s="137">
        <f>C100</f>
        <v>2518.4392</v>
      </c>
      <c r="D118" s="137">
        <f>D100*(1+$F$19*D72)</f>
        <v>1396.6656</v>
      </c>
      <c r="E118" s="137">
        <f aca="true" t="shared" si="38" ref="E118:T118">E100*(1+$F$19*E72)</f>
        <v>2661.8539</v>
      </c>
      <c r="F118" s="137">
        <f t="shared" si="38"/>
        <v>1457.8902</v>
      </c>
      <c r="G118" s="137">
        <f t="shared" si="38"/>
        <v>1665.2265000000002</v>
      </c>
      <c r="H118" s="137">
        <f t="shared" si="38"/>
        <v>1857.5628000000002</v>
      </c>
      <c r="I118" s="137">
        <f t="shared" si="38"/>
        <v>2028.5991000000001</v>
      </c>
      <c r="J118" s="137">
        <f t="shared" si="38"/>
        <v>2172.0354</v>
      </c>
      <c r="K118" s="137">
        <f t="shared" si="38"/>
        <v>2315.4717000000005</v>
      </c>
      <c r="L118" s="137">
        <f t="shared" si="38"/>
        <v>2458.9080000000004</v>
      </c>
      <c r="M118" s="137">
        <f t="shared" si="38"/>
        <v>2716.6443000000004</v>
      </c>
      <c r="N118" s="137">
        <f t="shared" si="38"/>
        <v>2866.3806000000004</v>
      </c>
      <c r="O118" s="137">
        <f t="shared" si="38"/>
        <v>3058.4169000000006</v>
      </c>
      <c r="P118" s="137">
        <f t="shared" si="38"/>
        <v>3254.6532</v>
      </c>
      <c r="Q118" s="137">
        <f t="shared" si="38"/>
        <v>3176.0895000000005</v>
      </c>
      <c r="R118" s="137">
        <f t="shared" si="38"/>
        <v>3553.0488</v>
      </c>
      <c r="S118" s="137">
        <f t="shared" si="38"/>
        <v>3706.5756</v>
      </c>
      <c r="T118" s="137">
        <f t="shared" si="38"/>
        <v>5580.590400000001</v>
      </c>
      <c r="U118" s="43">
        <f aca="true" t="shared" si="39" ref="U118:U123">SUM(C118:T118)</f>
        <v>48445.051699999996</v>
      </c>
    </row>
    <row r="119" spans="2:21" ht="13.5" customHeight="1">
      <c r="B119" s="33" t="s">
        <v>14</v>
      </c>
      <c r="C119" s="126">
        <f>C101</f>
        <v>181</v>
      </c>
      <c r="D119" s="126">
        <f>$D$101*(1+$C$117*$D$72)</f>
        <v>0</v>
      </c>
      <c r="E119" s="126">
        <f aca="true" t="shared" si="40" ref="E119:T119">E101*(1+$C$117*E72)</f>
        <v>0</v>
      </c>
      <c r="F119" s="126">
        <f t="shared" si="40"/>
        <v>93.60000000000001</v>
      </c>
      <c r="G119" s="126">
        <f t="shared" si="40"/>
        <v>178.50000000000003</v>
      </c>
      <c r="H119" s="126">
        <f t="shared" si="40"/>
        <v>248.4</v>
      </c>
      <c r="I119" s="126">
        <f t="shared" si="40"/>
        <v>297</v>
      </c>
      <c r="J119" s="126">
        <f t="shared" si="40"/>
        <v>318</v>
      </c>
      <c r="K119" s="126">
        <f t="shared" si="40"/>
        <v>339.00000000000006</v>
      </c>
      <c r="L119" s="126">
        <f t="shared" si="40"/>
        <v>360.00000000000006</v>
      </c>
      <c r="M119" s="126">
        <f t="shared" si="40"/>
        <v>381</v>
      </c>
      <c r="N119" s="126">
        <f t="shared" si="40"/>
        <v>402</v>
      </c>
      <c r="O119" s="126">
        <f t="shared" si="40"/>
        <v>423.00000000000006</v>
      </c>
      <c r="P119" s="126">
        <f t="shared" si="40"/>
        <v>444</v>
      </c>
      <c r="Q119" s="126">
        <f t="shared" si="40"/>
        <v>465</v>
      </c>
      <c r="R119" s="126">
        <f t="shared" si="40"/>
        <v>486.00000000000006</v>
      </c>
      <c r="S119" s="126">
        <f t="shared" si="40"/>
        <v>507.00000000000006</v>
      </c>
      <c r="T119" s="126">
        <f t="shared" si="40"/>
        <v>528.0000000000001</v>
      </c>
      <c r="U119" s="124">
        <f t="shared" si="39"/>
        <v>5651.5</v>
      </c>
    </row>
    <row r="120" spans="2:21" ht="13.5" customHeight="1">
      <c r="B120" s="107" t="s">
        <v>4</v>
      </c>
      <c r="C120" s="126">
        <f>C103</f>
        <v>174.75</v>
      </c>
      <c r="D120" s="126">
        <f>D103*(1+$F$19*D72)</f>
        <v>223.68</v>
      </c>
      <c r="E120" s="126">
        <f aca="true" t="shared" si="41" ref="E120:T120">E103*(1+$F$19*E72)</f>
        <v>248.14499999999998</v>
      </c>
      <c r="F120" s="126">
        <f t="shared" si="41"/>
        <v>272.61</v>
      </c>
      <c r="G120" s="126">
        <f t="shared" si="41"/>
        <v>297.07500000000005</v>
      </c>
      <c r="H120" s="126">
        <f t="shared" si="41"/>
        <v>321.54</v>
      </c>
      <c r="I120" s="126">
        <f t="shared" si="41"/>
        <v>346.005</v>
      </c>
      <c r="J120" s="126">
        <f t="shared" si="41"/>
        <v>370.47</v>
      </c>
      <c r="K120" s="126">
        <f t="shared" si="41"/>
        <v>394.93500000000006</v>
      </c>
      <c r="L120" s="126">
        <f t="shared" si="41"/>
        <v>419.40000000000003</v>
      </c>
      <c r="M120" s="126">
        <f t="shared" si="41"/>
        <v>0</v>
      </c>
      <c r="N120" s="126">
        <f t="shared" si="41"/>
        <v>0</v>
      </c>
      <c r="O120" s="126">
        <f t="shared" si="41"/>
        <v>0</v>
      </c>
      <c r="P120" s="126">
        <f t="shared" si="41"/>
        <v>0</v>
      </c>
      <c r="Q120" s="126">
        <f t="shared" si="41"/>
        <v>0</v>
      </c>
      <c r="R120" s="126">
        <f t="shared" si="41"/>
        <v>0</v>
      </c>
      <c r="S120" s="126">
        <f t="shared" si="41"/>
        <v>0</v>
      </c>
      <c r="T120" s="126">
        <f t="shared" si="41"/>
        <v>0</v>
      </c>
      <c r="U120" s="124">
        <f t="shared" si="39"/>
        <v>3068.6100000000006</v>
      </c>
    </row>
    <row r="121" spans="2:21" ht="13.5" customHeight="1">
      <c r="B121" s="107" t="s">
        <v>5</v>
      </c>
      <c r="C121" s="126">
        <f>C104</f>
        <v>262.5</v>
      </c>
      <c r="D121" s="126">
        <f>D104*(1+$F$19*D72)</f>
        <v>336</v>
      </c>
      <c r="E121" s="126">
        <f aca="true" t="shared" si="42" ref="E121:T121">E104*(1+$F$19*E72)</f>
        <v>372.75</v>
      </c>
      <c r="F121" s="126">
        <f t="shared" si="42"/>
        <v>409.5</v>
      </c>
      <c r="G121" s="126">
        <f t="shared" si="42"/>
        <v>446.25000000000006</v>
      </c>
      <c r="H121" s="126">
        <f t="shared" si="42"/>
        <v>483</v>
      </c>
      <c r="I121" s="126">
        <f t="shared" si="42"/>
        <v>519.75</v>
      </c>
      <c r="J121" s="126">
        <f t="shared" si="42"/>
        <v>556.5</v>
      </c>
      <c r="K121" s="126">
        <f t="shared" si="42"/>
        <v>593.2500000000001</v>
      </c>
      <c r="L121" s="126">
        <f t="shared" si="42"/>
        <v>630.0000000000001</v>
      </c>
      <c r="M121" s="126">
        <f t="shared" si="42"/>
        <v>0</v>
      </c>
      <c r="N121" s="126">
        <f t="shared" si="42"/>
        <v>0</v>
      </c>
      <c r="O121" s="126">
        <f t="shared" si="42"/>
        <v>0</v>
      </c>
      <c r="P121" s="126">
        <f t="shared" si="42"/>
        <v>0</v>
      </c>
      <c r="Q121" s="126">
        <f t="shared" si="42"/>
        <v>0</v>
      </c>
      <c r="R121" s="126">
        <f t="shared" si="42"/>
        <v>0</v>
      </c>
      <c r="S121" s="126">
        <f t="shared" si="42"/>
        <v>0</v>
      </c>
      <c r="T121" s="126">
        <f t="shared" si="42"/>
        <v>0</v>
      </c>
      <c r="U121" s="124">
        <f t="shared" si="39"/>
        <v>4609.5</v>
      </c>
    </row>
    <row r="122" spans="2:21" ht="13.5" customHeight="1">
      <c r="B122" s="107" t="s">
        <v>6</v>
      </c>
      <c r="C122" s="126">
        <f>C105</f>
        <v>256</v>
      </c>
      <c r="D122" s="126">
        <f>D105*(1+$F$19*D72)</f>
        <v>327.68</v>
      </c>
      <c r="E122" s="126">
        <f aca="true" t="shared" si="43" ref="E122:T122">E105*(1+$F$19*E72)</f>
        <v>363.52</v>
      </c>
      <c r="F122" s="126">
        <f t="shared" si="43"/>
        <v>399.36</v>
      </c>
      <c r="G122" s="126">
        <f t="shared" si="43"/>
        <v>435.20000000000005</v>
      </c>
      <c r="H122" s="126">
        <f t="shared" si="43"/>
        <v>471.04</v>
      </c>
      <c r="I122" s="126">
        <f t="shared" si="43"/>
        <v>506.88</v>
      </c>
      <c r="J122" s="126">
        <f t="shared" si="43"/>
        <v>542.72</v>
      </c>
      <c r="K122" s="126">
        <f t="shared" si="43"/>
        <v>578.5600000000001</v>
      </c>
      <c r="L122" s="126">
        <f t="shared" si="43"/>
        <v>614.4000000000001</v>
      </c>
      <c r="M122" s="126">
        <f t="shared" si="43"/>
        <v>0</v>
      </c>
      <c r="N122" s="126">
        <f t="shared" si="43"/>
        <v>0</v>
      </c>
      <c r="O122" s="126">
        <f t="shared" si="43"/>
        <v>0</v>
      </c>
      <c r="P122" s="126">
        <f t="shared" si="43"/>
        <v>0</v>
      </c>
      <c r="Q122" s="126">
        <f t="shared" si="43"/>
        <v>0</v>
      </c>
      <c r="R122" s="126">
        <f t="shared" si="43"/>
        <v>0</v>
      </c>
      <c r="S122" s="126">
        <f t="shared" si="43"/>
        <v>0</v>
      </c>
      <c r="T122" s="126">
        <f t="shared" si="43"/>
        <v>0</v>
      </c>
      <c r="U122" s="124">
        <f t="shared" si="39"/>
        <v>4495.360000000001</v>
      </c>
    </row>
    <row r="123" spans="2:21" ht="13.5" customHeight="1">
      <c r="B123" s="139" t="s">
        <v>7</v>
      </c>
      <c r="C123" s="140">
        <f>C106</f>
        <v>196</v>
      </c>
      <c r="D123" s="140">
        <f>D106*(1+$F$19*D72)</f>
        <v>51.2</v>
      </c>
      <c r="E123" s="140">
        <f aca="true" t="shared" si="44" ref="E123:T123">E106*(1+$F$19*E72)</f>
        <v>56.8</v>
      </c>
      <c r="F123" s="140">
        <f t="shared" si="44"/>
        <v>62.400000000000006</v>
      </c>
      <c r="G123" s="140">
        <f t="shared" si="44"/>
        <v>68</v>
      </c>
      <c r="H123" s="140">
        <f t="shared" si="44"/>
        <v>360.64000000000004</v>
      </c>
      <c r="I123" s="140">
        <f t="shared" si="44"/>
        <v>79.2</v>
      </c>
      <c r="J123" s="140">
        <f t="shared" si="44"/>
        <v>84.80000000000001</v>
      </c>
      <c r="K123" s="140">
        <f t="shared" si="44"/>
        <v>90.4</v>
      </c>
      <c r="L123" s="140">
        <f t="shared" si="44"/>
        <v>96.00000000000001</v>
      </c>
      <c r="M123" s="140">
        <f t="shared" si="44"/>
        <v>0</v>
      </c>
      <c r="N123" s="140">
        <f t="shared" si="44"/>
        <v>0</v>
      </c>
      <c r="O123" s="140">
        <f t="shared" si="44"/>
        <v>0</v>
      </c>
      <c r="P123" s="140">
        <f t="shared" si="44"/>
        <v>0</v>
      </c>
      <c r="Q123" s="140">
        <f t="shared" si="44"/>
        <v>0</v>
      </c>
      <c r="R123" s="140">
        <f t="shared" si="44"/>
        <v>0</v>
      </c>
      <c r="S123" s="140">
        <f t="shared" si="44"/>
        <v>0</v>
      </c>
      <c r="T123" s="140">
        <f t="shared" si="44"/>
        <v>0</v>
      </c>
      <c r="U123" s="124">
        <f t="shared" si="39"/>
        <v>1145.44</v>
      </c>
    </row>
    <row r="124" spans="2:21" ht="13.5">
      <c r="B124" s="41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13"/>
    </row>
    <row r="125" spans="2:21" ht="13.5">
      <c r="B125" s="33" t="s">
        <v>188</v>
      </c>
      <c r="C125" s="142">
        <v>0.2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13"/>
    </row>
    <row r="126" spans="2:21" ht="13.5">
      <c r="B126" s="136" t="s">
        <v>97</v>
      </c>
      <c r="C126" s="141">
        <f aca="true" t="shared" si="45" ref="C126:C131">C110</f>
        <v>2518.4392</v>
      </c>
      <c r="D126" s="138">
        <f>D100*(1+$F$20*D72)</f>
        <v>1527.6029999999998</v>
      </c>
      <c r="E126" s="138">
        <f aca="true" t="shared" si="46" ref="E126:T126">E100*(1+$F$20*E72)</f>
        <v>2999.2720000000004</v>
      </c>
      <c r="F126" s="138">
        <f t="shared" si="46"/>
        <v>1682.1810000000003</v>
      </c>
      <c r="G126" s="138">
        <f t="shared" si="46"/>
        <v>1959.0900000000001</v>
      </c>
      <c r="H126" s="138">
        <f t="shared" si="46"/>
        <v>2220.9990000000003</v>
      </c>
      <c r="I126" s="138">
        <f t="shared" si="46"/>
        <v>2458.9080000000004</v>
      </c>
      <c r="J126" s="138">
        <f t="shared" si="46"/>
        <v>2663.8170000000005</v>
      </c>
      <c r="K126" s="138">
        <f t="shared" si="46"/>
        <v>2868.726</v>
      </c>
      <c r="L126" s="138">
        <f t="shared" si="46"/>
        <v>3073.635</v>
      </c>
      <c r="M126" s="138">
        <f t="shared" si="46"/>
        <v>3422.5440000000003</v>
      </c>
      <c r="N126" s="138">
        <f t="shared" si="46"/>
        <v>3636.4530000000004</v>
      </c>
      <c r="O126" s="138">
        <f t="shared" si="46"/>
        <v>3904.3620000000005</v>
      </c>
      <c r="P126" s="138">
        <f t="shared" si="46"/>
        <v>4178.271000000001</v>
      </c>
      <c r="Q126" s="138">
        <f t="shared" si="46"/>
        <v>4098.18</v>
      </c>
      <c r="R126" s="138">
        <f t="shared" si="46"/>
        <v>4605.804</v>
      </c>
      <c r="S126" s="138">
        <f t="shared" si="46"/>
        <v>4825.128</v>
      </c>
      <c r="T126" s="138">
        <f t="shared" si="46"/>
        <v>7292.816999999999</v>
      </c>
      <c r="U126" s="46">
        <f aca="true" t="shared" si="47" ref="U126:U131">SUM(C126:T126)</f>
        <v>59936.2292</v>
      </c>
    </row>
    <row r="127" spans="2:21" ht="13.5">
      <c r="B127" s="33" t="s">
        <v>14</v>
      </c>
      <c r="C127" s="126">
        <f t="shared" si="45"/>
        <v>181</v>
      </c>
      <c r="D127" s="42">
        <f>D101*(1+$C$125*D72)</f>
        <v>0</v>
      </c>
      <c r="E127" s="124">
        <f aca="true" t="shared" si="48" ref="E127:T127">E101*(1+$F$20*E72)</f>
        <v>0</v>
      </c>
      <c r="F127" s="124">
        <f t="shared" si="48"/>
        <v>108</v>
      </c>
      <c r="G127" s="124">
        <f t="shared" si="48"/>
        <v>210</v>
      </c>
      <c r="H127" s="124">
        <f t="shared" si="48"/>
        <v>297</v>
      </c>
      <c r="I127" s="124">
        <f t="shared" si="48"/>
        <v>360.00000000000006</v>
      </c>
      <c r="J127" s="124">
        <f t="shared" si="48"/>
        <v>390</v>
      </c>
      <c r="K127" s="124">
        <f t="shared" si="48"/>
        <v>420</v>
      </c>
      <c r="L127" s="124">
        <f t="shared" si="48"/>
        <v>450</v>
      </c>
      <c r="M127" s="124">
        <f t="shared" si="48"/>
        <v>480</v>
      </c>
      <c r="N127" s="124">
        <f t="shared" si="48"/>
        <v>510.00000000000006</v>
      </c>
      <c r="O127" s="124">
        <f t="shared" si="48"/>
        <v>540</v>
      </c>
      <c r="P127" s="124">
        <f t="shared" si="48"/>
        <v>570</v>
      </c>
      <c r="Q127" s="124">
        <f t="shared" si="48"/>
        <v>600</v>
      </c>
      <c r="R127" s="124">
        <f t="shared" si="48"/>
        <v>630</v>
      </c>
      <c r="S127" s="124">
        <f t="shared" si="48"/>
        <v>660</v>
      </c>
      <c r="T127" s="124">
        <f t="shared" si="48"/>
        <v>690</v>
      </c>
      <c r="U127" s="46">
        <f t="shared" si="47"/>
        <v>7096</v>
      </c>
    </row>
    <row r="128" spans="2:21" ht="13.5">
      <c r="B128" s="107" t="s">
        <v>4</v>
      </c>
      <c r="C128" s="126">
        <f t="shared" si="45"/>
        <v>174.75</v>
      </c>
      <c r="D128" s="124">
        <f>D103*(1+$F$20*D72)</f>
        <v>244.64999999999998</v>
      </c>
      <c r="E128" s="124">
        <f aca="true" t="shared" si="49" ref="E128:T128">E103*(1+$F$20*E72)</f>
        <v>279.6</v>
      </c>
      <c r="F128" s="124">
        <f t="shared" si="49"/>
        <v>314.55</v>
      </c>
      <c r="G128" s="124">
        <f t="shared" si="49"/>
        <v>349.5</v>
      </c>
      <c r="H128" s="124">
        <f t="shared" si="49"/>
        <v>384.45000000000005</v>
      </c>
      <c r="I128" s="124">
        <f t="shared" si="49"/>
        <v>419.40000000000003</v>
      </c>
      <c r="J128" s="124">
        <f t="shared" si="49"/>
        <v>454.35</v>
      </c>
      <c r="K128" s="124">
        <f t="shared" si="49"/>
        <v>489.29999999999995</v>
      </c>
      <c r="L128" s="124">
        <f t="shared" si="49"/>
        <v>524.25</v>
      </c>
      <c r="M128" s="124">
        <f t="shared" si="49"/>
        <v>0</v>
      </c>
      <c r="N128" s="124">
        <f t="shared" si="49"/>
        <v>0</v>
      </c>
      <c r="O128" s="124">
        <f t="shared" si="49"/>
        <v>0</v>
      </c>
      <c r="P128" s="124">
        <f t="shared" si="49"/>
        <v>0</v>
      </c>
      <c r="Q128" s="124">
        <f t="shared" si="49"/>
        <v>0</v>
      </c>
      <c r="R128" s="124">
        <f t="shared" si="49"/>
        <v>0</v>
      </c>
      <c r="S128" s="124">
        <f t="shared" si="49"/>
        <v>0</v>
      </c>
      <c r="T128" s="124">
        <f t="shared" si="49"/>
        <v>0</v>
      </c>
      <c r="U128" s="46">
        <f t="shared" si="47"/>
        <v>3634.8</v>
      </c>
    </row>
    <row r="129" spans="2:21" ht="13.5">
      <c r="B129" s="107" t="s">
        <v>5</v>
      </c>
      <c r="C129" s="126">
        <f t="shared" si="45"/>
        <v>262.5</v>
      </c>
      <c r="D129" s="124">
        <f>D104*(1+$F$20*D72)</f>
        <v>367.5</v>
      </c>
      <c r="E129" s="124">
        <f aca="true" t="shared" si="50" ref="E129:T129">E104*(1+$F$20*E72)</f>
        <v>420</v>
      </c>
      <c r="F129" s="124">
        <f t="shared" si="50"/>
        <v>472.5</v>
      </c>
      <c r="G129" s="124">
        <f t="shared" si="50"/>
        <v>525</v>
      </c>
      <c r="H129" s="124">
        <f t="shared" si="50"/>
        <v>577.5</v>
      </c>
      <c r="I129" s="124">
        <f t="shared" si="50"/>
        <v>630.0000000000001</v>
      </c>
      <c r="J129" s="124">
        <f t="shared" si="50"/>
        <v>682.5</v>
      </c>
      <c r="K129" s="124">
        <f t="shared" si="50"/>
        <v>735</v>
      </c>
      <c r="L129" s="124">
        <f t="shared" si="50"/>
        <v>787.5</v>
      </c>
      <c r="M129" s="124">
        <f t="shared" si="50"/>
        <v>0</v>
      </c>
      <c r="N129" s="124">
        <f t="shared" si="50"/>
        <v>0</v>
      </c>
      <c r="O129" s="124">
        <f t="shared" si="50"/>
        <v>0</v>
      </c>
      <c r="P129" s="124">
        <f t="shared" si="50"/>
        <v>0</v>
      </c>
      <c r="Q129" s="124">
        <f t="shared" si="50"/>
        <v>0</v>
      </c>
      <c r="R129" s="124">
        <f t="shared" si="50"/>
        <v>0</v>
      </c>
      <c r="S129" s="124">
        <f t="shared" si="50"/>
        <v>0</v>
      </c>
      <c r="T129" s="124">
        <f t="shared" si="50"/>
        <v>0</v>
      </c>
      <c r="U129" s="46">
        <f t="shared" si="47"/>
        <v>5460</v>
      </c>
    </row>
    <row r="130" spans="2:21" ht="13.5">
      <c r="B130" s="107" t="s">
        <v>6</v>
      </c>
      <c r="C130" s="126">
        <f t="shared" si="45"/>
        <v>256</v>
      </c>
      <c r="D130" s="124">
        <f>D105*(1+$F$20*D72)</f>
        <v>358.4</v>
      </c>
      <c r="E130" s="124">
        <f aca="true" t="shared" si="51" ref="E130:T130">E105*(1+$F$20*E72)</f>
        <v>409.6</v>
      </c>
      <c r="F130" s="124">
        <f t="shared" si="51"/>
        <v>460.8</v>
      </c>
      <c r="G130" s="124">
        <f t="shared" si="51"/>
        <v>512</v>
      </c>
      <c r="H130" s="124">
        <f t="shared" si="51"/>
        <v>563.2</v>
      </c>
      <c r="I130" s="124">
        <f t="shared" si="51"/>
        <v>614.4000000000001</v>
      </c>
      <c r="J130" s="124">
        <f t="shared" si="51"/>
        <v>665.6</v>
      </c>
      <c r="K130" s="124">
        <f t="shared" si="51"/>
        <v>716.8</v>
      </c>
      <c r="L130" s="124">
        <f t="shared" si="51"/>
        <v>768</v>
      </c>
      <c r="M130" s="124">
        <f t="shared" si="51"/>
        <v>0</v>
      </c>
      <c r="N130" s="124">
        <f t="shared" si="51"/>
        <v>0</v>
      </c>
      <c r="O130" s="124">
        <f t="shared" si="51"/>
        <v>0</v>
      </c>
      <c r="P130" s="124">
        <f t="shared" si="51"/>
        <v>0</v>
      </c>
      <c r="Q130" s="124">
        <f t="shared" si="51"/>
        <v>0</v>
      </c>
      <c r="R130" s="124">
        <f t="shared" si="51"/>
        <v>0</v>
      </c>
      <c r="S130" s="124">
        <f t="shared" si="51"/>
        <v>0</v>
      </c>
      <c r="T130" s="124">
        <f t="shared" si="51"/>
        <v>0</v>
      </c>
      <c r="U130" s="46">
        <f t="shared" si="47"/>
        <v>5324.8</v>
      </c>
    </row>
    <row r="131" spans="2:21" ht="13.5">
      <c r="B131" s="139" t="s">
        <v>7</v>
      </c>
      <c r="C131" s="140">
        <f t="shared" si="45"/>
        <v>196</v>
      </c>
      <c r="D131" s="135">
        <f>D106*(1+$F$20*D72)</f>
        <v>56</v>
      </c>
      <c r="E131" s="135">
        <f aca="true" t="shared" si="52" ref="E131:T131">E106*(1+$F$20*E72)</f>
        <v>64</v>
      </c>
      <c r="F131" s="135">
        <f t="shared" si="52"/>
        <v>72</v>
      </c>
      <c r="G131" s="135">
        <f t="shared" si="52"/>
        <v>80</v>
      </c>
      <c r="H131" s="135">
        <f t="shared" si="52"/>
        <v>431.20000000000005</v>
      </c>
      <c r="I131" s="135">
        <f t="shared" si="52"/>
        <v>96.00000000000001</v>
      </c>
      <c r="J131" s="135">
        <f t="shared" si="52"/>
        <v>104</v>
      </c>
      <c r="K131" s="135">
        <f t="shared" si="52"/>
        <v>112</v>
      </c>
      <c r="L131" s="135">
        <f t="shared" si="52"/>
        <v>120</v>
      </c>
      <c r="M131" s="135">
        <f t="shared" si="52"/>
        <v>0</v>
      </c>
      <c r="N131" s="135">
        <f t="shared" si="52"/>
        <v>0</v>
      </c>
      <c r="O131" s="135">
        <f t="shared" si="52"/>
        <v>0</v>
      </c>
      <c r="P131" s="135">
        <f t="shared" si="52"/>
        <v>0</v>
      </c>
      <c r="Q131" s="135">
        <f t="shared" si="52"/>
        <v>0</v>
      </c>
      <c r="R131" s="135">
        <f t="shared" si="52"/>
        <v>0</v>
      </c>
      <c r="S131" s="135">
        <f t="shared" si="52"/>
        <v>0</v>
      </c>
      <c r="T131" s="135">
        <f t="shared" si="52"/>
        <v>0</v>
      </c>
      <c r="U131" s="46">
        <f t="shared" si="47"/>
        <v>1331.2</v>
      </c>
    </row>
    <row r="133" ht="13.5">
      <c r="B133" s="12" t="s">
        <v>98</v>
      </c>
    </row>
    <row r="134" ht="13.5">
      <c r="C134" s="12" t="s">
        <v>2</v>
      </c>
    </row>
    <row r="135" spans="2:3" ht="13.5">
      <c r="B135" s="12" t="s">
        <v>101</v>
      </c>
      <c r="C135" s="37">
        <v>0.09</v>
      </c>
    </row>
    <row r="136" spans="2:20" ht="13.5">
      <c r="B136" s="106"/>
      <c r="C136" s="116">
        <v>1</v>
      </c>
      <c r="D136" s="116">
        <v>2</v>
      </c>
      <c r="E136" s="116">
        <v>3</v>
      </c>
      <c r="F136" s="116">
        <v>4</v>
      </c>
      <c r="G136" s="116">
        <v>5</v>
      </c>
      <c r="H136" s="116">
        <v>6</v>
      </c>
      <c r="I136" s="116">
        <v>7</v>
      </c>
      <c r="J136" s="116">
        <v>8</v>
      </c>
      <c r="K136" s="116">
        <v>9</v>
      </c>
      <c r="L136" s="116">
        <v>10</v>
      </c>
      <c r="M136" s="116">
        <v>11</v>
      </c>
      <c r="N136" s="116">
        <v>12</v>
      </c>
      <c r="O136" s="116">
        <v>13</v>
      </c>
      <c r="P136" s="116">
        <v>14</v>
      </c>
      <c r="Q136" s="116">
        <v>15</v>
      </c>
      <c r="R136" s="116">
        <v>16</v>
      </c>
      <c r="S136" s="116">
        <v>17</v>
      </c>
      <c r="T136" s="116">
        <v>18</v>
      </c>
    </row>
    <row r="137" spans="2:21" ht="13.5">
      <c r="B137" s="59" t="s">
        <v>97</v>
      </c>
      <c r="C137" s="143">
        <f>(C24*C55)/1000</f>
        <v>0</v>
      </c>
      <c r="D137" s="143">
        <f aca="true" t="shared" si="53" ref="D137:T137">($G$4*D24*D55)/1000</f>
        <v>0</v>
      </c>
      <c r="E137" s="143">
        <f t="shared" si="53"/>
        <v>0</v>
      </c>
      <c r="F137" s="143">
        <f t="shared" si="53"/>
        <v>0</v>
      </c>
      <c r="G137" s="143">
        <f t="shared" si="53"/>
        <v>0</v>
      </c>
      <c r="H137" s="143">
        <f t="shared" si="53"/>
        <v>0</v>
      </c>
      <c r="I137" s="143">
        <f t="shared" si="53"/>
        <v>923.6666666666667</v>
      </c>
      <c r="J137" s="143">
        <f t="shared" si="53"/>
        <v>1949.3333333333335</v>
      </c>
      <c r="K137" s="143">
        <f t="shared" si="53"/>
        <v>3589.833333333333</v>
      </c>
      <c r="L137" s="143">
        <f t="shared" si="53"/>
        <v>6460</v>
      </c>
      <c r="M137" s="143">
        <f t="shared" si="53"/>
        <v>11840.500000000002</v>
      </c>
      <c r="N137" s="143">
        <f t="shared" si="53"/>
        <v>16501.333333333332</v>
      </c>
      <c r="O137" s="143">
        <f t="shared" si="53"/>
        <v>3074.166666666667</v>
      </c>
      <c r="P137" s="143">
        <f t="shared" si="53"/>
        <v>24332.666666666664</v>
      </c>
      <c r="Q137" s="143">
        <f t="shared" si="53"/>
        <v>29962.499999999993</v>
      </c>
      <c r="R137" s="143">
        <f t="shared" si="53"/>
        <v>1382.6666666666667</v>
      </c>
      <c r="S137" s="143">
        <f t="shared" si="53"/>
        <v>41576.333333333336</v>
      </c>
      <c r="T137" s="143">
        <f t="shared" si="53"/>
        <v>44540</v>
      </c>
      <c r="U137" s="46">
        <f aca="true" t="shared" si="54" ref="U137:U142">SUM(C137:T137)</f>
        <v>186133</v>
      </c>
    </row>
    <row r="138" spans="2:21" ht="13.5">
      <c r="B138" s="33" t="s">
        <v>14</v>
      </c>
      <c r="C138" s="130">
        <f>(C29*C68)/1000</f>
        <v>0</v>
      </c>
      <c r="D138" s="130">
        <f aca="true" t="shared" si="55" ref="D138:T138">($G$4*D29*D68)/1000</f>
        <v>0</v>
      </c>
      <c r="E138" s="130">
        <f t="shared" si="55"/>
        <v>0</v>
      </c>
      <c r="F138" s="130">
        <f t="shared" si="55"/>
        <v>587.52</v>
      </c>
      <c r="G138" s="130">
        <f t="shared" si="55"/>
        <v>1096.2</v>
      </c>
      <c r="H138" s="130">
        <f t="shared" si="55"/>
        <v>1496.88</v>
      </c>
      <c r="I138" s="130">
        <f t="shared" si="55"/>
        <v>1760.4</v>
      </c>
      <c r="J138" s="130">
        <f t="shared" si="55"/>
        <v>1857.6</v>
      </c>
      <c r="K138" s="130">
        <f t="shared" si="55"/>
        <v>1954.8</v>
      </c>
      <c r="L138" s="130">
        <f t="shared" si="55"/>
        <v>2052</v>
      </c>
      <c r="M138" s="130">
        <f t="shared" si="55"/>
        <v>2149.2</v>
      </c>
      <c r="N138" s="130">
        <f t="shared" si="55"/>
        <v>2246.4</v>
      </c>
      <c r="O138" s="130">
        <f t="shared" si="55"/>
        <v>2343.6</v>
      </c>
      <c r="P138" s="130">
        <f t="shared" si="55"/>
        <v>2440.7999999999997</v>
      </c>
      <c r="Q138" s="130">
        <f t="shared" si="55"/>
        <v>2537.9999999999995</v>
      </c>
      <c r="R138" s="130">
        <f t="shared" si="55"/>
        <v>2635.2</v>
      </c>
      <c r="S138" s="130">
        <f t="shared" si="55"/>
        <v>2732.4</v>
      </c>
      <c r="T138" s="130">
        <f t="shared" si="55"/>
        <v>2829.6</v>
      </c>
      <c r="U138" s="46">
        <f t="shared" si="54"/>
        <v>30720.6</v>
      </c>
    </row>
    <row r="139" spans="2:22" ht="13.5">
      <c r="B139" s="107" t="s">
        <v>4</v>
      </c>
      <c r="C139" s="130">
        <f aca="true" t="shared" si="56" ref="C139:T139">(C25*C59)/1000</f>
        <v>210</v>
      </c>
      <c r="D139" s="130">
        <f t="shared" si="56"/>
        <v>247.8</v>
      </c>
      <c r="E139" s="130">
        <f t="shared" si="56"/>
        <v>266.7</v>
      </c>
      <c r="F139" s="130">
        <f t="shared" si="56"/>
        <v>285.59999999999997</v>
      </c>
      <c r="G139" s="130">
        <f t="shared" si="56"/>
        <v>304.5</v>
      </c>
      <c r="H139" s="130">
        <f t="shared" si="56"/>
        <v>323.4</v>
      </c>
      <c r="I139" s="130">
        <f t="shared" si="56"/>
        <v>342.3</v>
      </c>
      <c r="J139" s="130">
        <f t="shared" si="56"/>
        <v>361.2</v>
      </c>
      <c r="K139" s="130">
        <f t="shared" si="56"/>
        <v>380.1</v>
      </c>
      <c r="L139" s="130">
        <f t="shared" si="56"/>
        <v>399</v>
      </c>
      <c r="M139" s="130">
        <f t="shared" si="56"/>
        <v>0</v>
      </c>
      <c r="N139" s="130">
        <f t="shared" si="56"/>
        <v>0</v>
      </c>
      <c r="O139" s="130">
        <f t="shared" si="56"/>
        <v>0</v>
      </c>
      <c r="P139" s="130">
        <f t="shared" si="56"/>
        <v>0</v>
      </c>
      <c r="Q139" s="130">
        <f t="shared" si="56"/>
        <v>0</v>
      </c>
      <c r="R139" s="130">
        <f t="shared" si="56"/>
        <v>0</v>
      </c>
      <c r="S139" s="130">
        <f t="shared" si="56"/>
        <v>0</v>
      </c>
      <c r="T139" s="130">
        <f t="shared" si="56"/>
        <v>0</v>
      </c>
      <c r="U139" s="46">
        <f t="shared" si="54"/>
        <v>3120.6</v>
      </c>
      <c r="V139" s="16"/>
    </row>
    <row r="140" spans="2:22" ht="13.5">
      <c r="B140" s="107" t="s">
        <v>5</v>
      </c>
      <c r="C140" s="130">
        <f aca="true" t="shared" si="57" ref="C140:T140">(C26*C61)/1000</f>
        <v>450</v>
      </c>
      <c r="D140" s="130">
        <f t="shared" si="57"/>
        <v>531</v>
      </c>
      <c r="E140" s="130">
        <f t="shared" si="57"/>
        <v>571.5</v>
      </c>
      <c r="F140" s="130">
        <f t="shared" si="57"/>
        <v>611.9999999999999</v>
      </c>
      <c r="G140" s="130">
        <f t="shared" si="57"/>
        <v>652.5</v>
      </c>
      <c r="H140" s="130">
        <f t="shared" si="57"/>
        <v>693</v>
      </c>
      <c r="I140" s="130">
        <f t="shared" si="57"/>
        <v>733.5</v>
      </c>
      <c r="J140" s="130">
        <f t="shared" si="57"/>
        <v>774</v>
      </c>
      <c r="K140" s="130">
        <f t="shared" si="57"/>
        <v>814.5</v>
      </c>
      <c r="L140" s="130">
        <f t="shared" si="57"/>
        <v>855</v>
      </c>
      <c r="M140" s="130">
        <f t="shared" si="57"/>
        <v>0</v>
      </c>
      <c r="N140" s="130">
        <f t="shared" si="57"/>
        <v>0</v>
      </c>
      <c r="O140" s="130">
        <f t="shared" si="57"/>
        <v>0</v>
      </c>
      <c r="P140" s="130">
        <f t="shared" si="57"/>
        <v>0</v>
      </c>
      <c r="Q140" s="130">
        <f t="shared" si="57"/>
        <v>0</v>
      </c>
      <c r="R140" s="130">
        <f t="shared" si="57"/>
        <v>0</v>
      </c>
      <c r="S140" s="130">
        <f t="shared" si="57"/>
        <v>0</v>
      </c>
      <c r="T140" s="130">
        <f t="shared" si="57"/>
        <v>0</v>
      </c>
      <c r="U140" s="46">
        <f t="shared" si="54"/>
        <v>6687</v>
      </c>
      <c r="V140" s="16"/>
    </row>
    <row r="141" spans="2:22" ht="13.5">
      <c r="B141" s="107" t="s">
        <v>6</v>
      </c>
      <c r="C141" s="130">
        <f>(C27*C63)/1000</f>
        <v>562.5</v>
      </c>
      <c r="D141" s="130">
        <f aca="true" t="shared" si="58" ref="D141:T141">($G$4*D27*D63)/1000</f>
        <v>663.75</v>
      </c>
      <c r="E141" s="130">
        <f t="shared" si="58"/>
        <v>714.375</v>
      </c>
      <c r="F141" s="130">
        <f t="shared" si="58"/>
        <v>764.9999999999999</v>
      </c>
      <c r="G141" s="130">
        <f t="shared" si="58"/>
        <v>815.625</v>
      </c>
      <c r="H141" s="130">
        <f t="shared" si="58"/>
        <v>866.25</v>
      </c>
      <c r="I141" s="130">
        <f t="shared" si="58"/>
        <v>916.875</v>
      </c>
      <c r="J141" s="130">
        <f t="shared" si="58"/>
        <v>967.5</v>
      </c>
      <c r="K141" s="130">
        <f t="shared" si="58"/>
        <v>1018.125</v>
      </c>
      <c r="L141" s="130">
        <f t="shared" si="58"/>
        <v>1068.75</v>
      </c>
      <c r="M141" s="130">
        <f t="shared" si="58"/>
        <v>0</v>
      </c>
      <c r="N141" s="130">
        <f t="shared" si="58"/>
        <v>0</v>
      </c>
      <c r="O141" s="130">
        <f t="shared" si="58"/>
        <v>0</v>
      </c>
      <c r="P141" s="130">
        <f t="shared" si="58"/>
        <v>0</v>
      </c>
      <c r="Q141" s="130">
        <f t="shared" si="58"/>
        <v>0</v>
      </c>
      <c r="R141" s="130">
        <f t="shared" si="58"/>
        <v>0</v>
      </c>
      <c r="S141" s="130">
        <f t="shared" si="58"/>
        <v>0</v>
      </c>
      <c r="T141" s="130">
        <f t="shared" si="58"/>
        <v>0</v>
      </c>
      <c r="U141" s="46">
        <f t="shared" si="54"/>
        <v>8358.75</v>
      </c>
      <c r="V141" s="16"/>
    </row>
    <row r="142" spans="2:22" ht="13.5">
      <c r="B142" s="139" t="s">
        <v>7</v>
      </c>
      <c r="C142" s="144">
        <f>(C28*C65)/1000</f>
        <v>375</v>
      </c>
      <c r="D142" s="144">
        <f aca="true" t="shared" si="59" ref="D142:T142">($G$4*D28*D65)/1000</f>
        <v>442.5</v>
      </c>
      <c r="E142" s="144">
        <f t="shared" si="59"/>
        <v>476.25</v>
      </c>
      <c r="F142" s="144">
        <f t="shared" si="59"/>
        <v>510</v>
      </c>
      <c r="G142" s="144">
        <f t="shared" si="59"/>
        <v>543.75</v>
      </c>
      <c r="H142" s="144">
        <f t="shared" si="59"/>
        <v>577.5</v>
      </c>
      <c r="I142" s="144">
        <f t="shared" si="59"/>
        <v>611.25</v>
      </c>
      <c r="J142" s="144">
        <f t="shared" si="59"/>
        <v>645</v>
      </c>
      <c r="K142" s="144">
        <f t="shared" si="59"/>
        <v>678.75</v>
      </c>
      <c r="L142" s="144">
        <f t="shared" si="59"/>
        <v>712.5</v>
      </c>
      <c r="M142" s="144">
        <f t="shared" si="59"/>
        <v>0</v>
      </c>
      <c r="N142" s="144">
        <f t="shared" si="59"/>
        <v>0</v>
      </c>
      <c r="O142" s="144">
        <f t="shared" si="59"/>
        <v>0</v>
      </c>
      <c r="P142" s="144">
        <f t="shared" si="59"/>
        <v>0</v>
      </c>
      <c r="Q142" s="144">
        <f t="shared" si="59"/>
        <v>0</v>
      </c>
      <c r="R142" s="144">
        <f t="shared" si="59"/>
        <v>0</v>
      </c>
      <c r="S142" s="144">
        <f t="shared" si="59"/>
        <v>0</v>
      </c>
      <c r="T142" s="144">
        <f t="shared" si="59"/>
        <v>0</v>
      </c>
      <c r="U142" s="46">
        <f t="shared" si="54"/>
        <v>5572.5</v>
      </c>
      <c r="V142" s="16"/>
    </row>
    <row r="145" spans="2:4" ht="13.5">
      <c r="B145" s="12" t="s">
        <v>189</v>
      </c>
      <c r="D145" s="37">
        <v>0.14</v>
      </c>
    </row>
    <row r="146" spans="2:20" ht="13.5">
      <c r="B146" s="111"/>
      <c r="C146" s="117">
        <v>1</v>
      </c>
      <c r="D146" s="117">
        <v>2</v>
      </c>
      <c r="E146" s="117">
        <v>3</v>
      </c>
      <c r="F146" s="117">
        <v>4</v>
      </c>
      <c r="G146" s="117">
        <v>5</v>
      </c>
      <c r="H146" s="117">
        <v>6</v>
      </c>
      <c r="I146" s="117">
        <v>7</v>
      </c>
      <c r="J146" s="117">
        <v>8</v>
      </c>
      <c r="K146" s="117">
        <v>9</v>
      </c>
      <c r="L146" s="117">
        <v>10</v>
      </c>
      <c r="M146" s="117">
        <v>11</v>
      </c>
      <c r="N146" s="117">
        <v>12</v>
      </c>
      <c r="O146" s="117">
        <v>13</v>
      </c>
      <c r="P146" s="117">
        <v>14</v>
      </c>
      <c r="Q146" s="117">
        <v>15</v>
      </c>
      <c r="R146" s="117">
        <v>16</v>
      </c>
      <c r="S146" s="117">
        <v>17</v>
      </c>
      <c r="T146" s="117">
        <v>18</v>
      </c>
    </row>
    <row r="147" spans="2:21" ht="13.5">
      <c r="B147" s="59" t="s">
        <v>97</v>
      </c>
      <c r="C147" s="143">
        <f aca="true" t="shared" si="60" ref="C147:T147">(C33*C55)/1000</f>
        <v>0</v>
      </c>
      <c r="D147" s="143">
        <f t="shared" si="60"/>
        <v>0</v>
      </c>
      <c r="E147" s="143">
        <f t="shared" si="60"/>
        <v>0</v>
      </c>
      <c r="F147" s="143">
        <f t="shared" si="60"/>
        <v>0</v>
      </c>
      <c r="G147" s="143">
        <f t="shared" si="60"/>
        <v>0</v>
      </c>
      <c r="H147" s="143">
        <f t="shared" si="60"/>
        <v>0</v>
      </c>
      <c r="I147" s="143">
        <f t="shared" si="60"/>
        <v>1122.0000000000002</v>
      </c>
      <c r="J147" s="143">
        <f t="shared" si="60"/>
        <v>2402.666666666667</v>
      </c>
      <c r="K147" s="143">
        <f t="shared" si="60"/>
        <v>4482.333333333334</v>
      </c>
      <c r="L147" s="143">
        <f t="shared" si="60"/>
        <v>8160.000000000002</v>
      </c>
      <c r="M147" s="143">
        <f t="shared" si="60"/>
        <v>15113.000000000002</v>
      </c>
      <c r="N147" s="143">
        <f t="shared" si="60"/>
        <v>21261.333333333332</v>
      </c>
      <c r="O147" s="143">
        <f t="shared" si="60"/>
        <v>3995.000000000001</v>
      </c>
      <c r="P147" s="143">
        <f t="shared" si="60"/>
        <v>31869.333333333332</v>
      </c>
      <c r="Q147" s="143">
        <f t="shared" si="60"/>
        <v>39525</v>
      </c>
      <c r="R147" s="143">
        <f t="shared" si="60"/>
        <v>1836.0000000000002</v>
      </c>
      <c r="S147" s="143">
        <f t="shared" si="60"/>
        <v>55544.66666666667</v>
      </c>
      <c r="T147" s="143">
        <f t="shared" si="60"/>
        <v>59840.00000000001</v>
      </c>
      <c r="U147" s="46">
        <f aca="true" t="shared" si="61" ref="U147:U152">SUM(C147:T147)</f>
        <v>245151.33333333334</v>
      </c>
    </row>
    <row r="148" spans="2:21" ht="13.5">
      <c r="B148" s="33" t="s">
        <v>14</v>
      </c>
      <c r="C148" s="130">
        <f aca="true" t="shared" si="62" ref="C148:T148">(C38*C68)/1000</f>
        <v>0</v>
      </c>
      <c r="D148" s="130">
        <f t="shared" si="62"/>
        <v>0</v>
      </c>
      <c r="E148" s="130">
        <f t="shared" si="62"/>
        <v>0</v>
      </c>
      <c r="F148" s="130">
        <f t="shared" si="62"/>
        <v>673.92</v>
      </c>
      <c r="G148" s="130">
        <f t="shared" si="62"/>
        <v>1285.2000000000003</v>
      </c>
      <c r="H148" s="130">
        <f t="shared" si="62"/>
        <v>1788.48</v>
      </c>
      <c r="I148" s="130">
        <f t="shared" si="62"/>
        <v>2138.4</v>
      </c>
      <c r="J148" s="130">
        <f t="shared" si="62"/>
        <v>2289.6</v>
      </c>
      <c r="K148" s="130">
        <f t="shared" si="62"/>
        <v>2440.8000000000006</v>
      </c>
      <c r="L148" s="130">
        <f t="shared" si="62"/>
        <v>2592.0000000000005</v>
      </c>
      <c r="M148" s="130">
        <f t="shared" si="62"/>
        <v>2743.2</v>
      </c>
      <c r="N148" s="130">
        <f t="shared" si="62"/>
        <v>2894.4</v>
      </c>
      <c r="O148" s="130">
        <f t="shared" si="62"/>
        <v>3045.6000000000004</v>
      </c>
      <c r="P148" s="130">
        <f t="shared" si="62"/>
        <v>3196.8</v>
      </c>
      <c r="Q148" s="130">
        <f t="shared" si="62"/>
        <v>3348</v>
      </c>
      <c r="R148" s="130">
        <f t="shared" si="62"/>
        <v>3499.2</v>
      </c>
      <c r="S148" s="130">
        <f t="shared" si="62"/>
        <v>3650.4000000000005</v>
      </c>
      <c r="T148" s="130">
        <f t="shared" si="62"/>
        <v>3801.6000000000004</v>
      </c>
      <c r="U148" s="46">
        <f t="shared" si="61"/>
        <v>39387.600000000006</v>
      </c>
    </row>
    <row r="149" spans="2:21" ht="13.5">
      <c r="B149" s="107" t="s">
        <v>4</v>
      </c>
      <c r="C149" s="130">
        <f aca="true" t="shared" si="63" ref="C149:T149">(C34*C59)/1000</f>
        <v>210</v>
      </c>
      <c r="D149" s="130">
        <f t="shared" si="63"/>
        <v>268.8</v>
      </c>
      <c r="E149" s="130">
        <f t="shared" si="63"/>
        <v>298.2</v>
      </c>
      <c r="F149" s="130">
        <f t="shared" si="63"/>
        <v>327.6</v>
      </c>
      <c r="G149" s="130">
        <f t="shared" si="63"/>
        <v>357.00000000000006</v>
      </c>
      <c r="H149" s="130">
        <f t="shared" si="63"/>
        <v>386.4</v>
      </c>
      <c r="I149" s="130">
        <f t="shared" si="63"/>
        <v>415.8</v>
      </c>
      <c r="J149" s="130">
        <f t="shared" si="63"/>
        <v>445.2</v>
      </c>
      <c r="K149" s="130">
        <f t="shared" si="63"/>
        <v>474.6000000000001</v>
      </c>
      <c r="L149" s="130">
        <f t="shared" si="63"/>
        <v>504.00000000000006</v>
      </c>
      <c r="M149" s="130">
        <f t="shared" si="63"/>
        <v>0</v>
      </c>
      <c r="N149" s="130">
        <f t="shared" si="63"/>
        <v>0</v>
      </c>
      <c r="O149" s="130">
        <f t="shared" si="63"/>
        <v>0</v>
      </c>
      <c r="P149" s="130">
        <f t="shared" si="63"/>
        <v>0</v>
      </c>
      <c r="Q149" s="130">
        <f t="shared" si="63"/>
        <v>0</v>
      </c>
      <c r="R149" s="130">
        <f t="shared" si="63"/>
        <v>0</v>
      </c>
      <c r="S149" s="130">
        <f t="shared" si="63"/>
        <v>0</v>
      </c>
      <c r="T149" s="130">
        <f t="shared" si="63"/>
        <v>0</v>
      </c>
      <c r="U149" s="46">
        <f t="shared" si="61"/>
        <v>3687.6</v>
      </c>
    </row>
    <row r="150" spans="2:21" ht="13.5">
      <c r="B150" s="107" t="s">
        <v>5</v>
      </c>
      <c r="C150" s="130">
        <f aca="true" t="shared" si="64" ref="C150:T150">(C35*C61)/1000</f>
        <v>450</v>
      </c>
      <c r="D150" s="130">
        <f t="shared" si="64"/>
        <v>576</v>
      </c>
      <c r="E150" s="130">
        <f t="shared" si="64"/>
        <v>639</v>
      </c>
      <c r="F150" s="130">
        <f t="shared" si="64"/>
        <v>702</v>
      </c>
      <c r="G150" s="130">
        <f t="shared" si="64"/>
        <v>765.0000000000001</v>
      </c>
      <c r="H150" s="130">
        <f t="shared" si="64"/>
        <v>828</v>
      </c>
      <c r="I150" s="130">
        <f t="shared" si="64"/>
        <v>891</v>
      </c>
      <c r="J150" s="130">
        <f t="shared" si="64"/>
        <v>954</v>
      </c>
      <c r="K150" s="130">
        <f t="shared" si="64"/>
        <v>1017.0000000000002</v>
      </c>
      <c r="L150" s="130">
        <f t="shared" si="64"/>
        <v>1080.0000000000002</v>
      </c>
      <c r="M150" s="130">
        <f t="shared" si="64"/>
        <v>0</v>
      </c>
      <c r="N150" s="130">
        <f t="shared" si="64"/>
        <v>0</v>
      </c>
      <c r="O150" s="130">
        <f t="shared" si="64"/>
        <v>0</v>
      </c>
      <c r="P150" s="130">
        <f t="shared" si="64"/>
        <v>0</v>
      </c>
      <c r="Q150" s="130">
        <f t="shared" si="64"/>
        <v>0</v>
      </c>
      <c r="R150" s="130">
        <f t="shared" si="64"/>
        <v>0</v>
      </c>
      <c r="S150" s="130">
        <f t="shared" si="64"/>
        <v>0</v>
      </c>
      <c r="T150" s="130">
        <f t="shared" si="64"/>
        <v>0</v>
      </c>
      <c r="U150" s="46">
        <f t="shared" si="61"/>
        <v>7902</v>
      </c>
    </row>
    <row r="151" spans="2:21" ht="13.5">
      <c r="B151" s="107" t="s">
        <v>6</v>
      </c>
      <c r="C151" s="130">
        <f aca="true" t="shared" si="65" ref="C151:T151">(C36*C63)/1000</f>
        <v>562.5</v>
      </c>
      <c r="D151" s="130">
        <f t="shared" si="65"/>
        <v>720</v>
      </c>
      <c r="E151" s="130">
        <f t="shared" si="65"/>
        <v>798.75</v>
      </c>
      <c r="F151" s="130">
        <f t="shared" si="65"/>
        <v>877.5</v>
      </c>
      <c r="G151" s="130">
        <f t="shared" si="65"/>
        <v>956.2500000000001</v>
      </c>
      <c r="H151" s="130">
        <f t="shared" si="65"/>
        <v>1035</v>
      </c>
      <c r="I151" s="130">
        <f t="shared" si="65"/>
        <v>1113.75</v>
      </c>
      <c r="J151" s="130">
        <f t="shared" si="65"/>
        <v>1192.5</v>
      </c>
      <c r="K151" s="130">
        <f t="shared" si="65"/>
        <v>1271.2500000000002</v>
      </c>
      <c r="L151" s="130">
        <f t="shared" si="65"/>
        <v>1350.0000000000002</v>
      </c>
      <c r="M151" s="130">
        <f t="shared" si="65"/>
        <v>0</v>
      </c>
      <c r="N151" s="130">
        <f t="shared" si="65"/>
        <v>0</v>
      </c>
      <c r="O151" s="130">
        <f t="shared" si="65"/>
        <v>0</v>
      </c>
      <c r="P151" s="130">
        <f t="shared" si="65"/>
        <v>0</v>
      </c>
      <c r="Q151" s="130">
        <f t="shared" si="65"/>
        <v>0</v>
      </c>
      <c r="R151" s="130">
        <f t="shared" si="65"/>
        <v>0</v>
      </c>
      <c r="S151" s="130">
        <f t="shared" si="65"/>
        <v>0</v>
      </c>
      <c r="T151" s="130">
        <f t="shared" si="65"/>
        <v>0</v>
      </c>
      <c r="U151" s="46">
        <f t="shared" si="61"/>
        <v>9877.5</v>
      </c>
    </row>
    <row r="152" spans="2:21" ht="13.5">
      <c r="B152" s="139" t="s">
        <v>7</v>
      </c>
      <c r="C152" s="144">
        <f aca="true" t="shared" si="66" ref="C152:T152">(C37*C65)/1000</f>
        <v>375</v>
      </c>
      <c r="D152" s="144">
        <f t="shared" si="66"/>
        <v>480</v>
      </c>
      <c r="E152" s="144">
        <f t="shared" si="66"/>
        <v>532.5</v>
      </c>
      <c r="F152" s="144">
        <f t="shared" si="66"/>
        <v>585</v>
      </c>
      <c r="G152" s="144">
        <f t="shared" si="66"/>
        <v>637.5000000000001</v>
      </c>
      <c r="H152" s="144">
        <f t="shared" si="66"/>
        <v>690</v>
      </c>
      <c r="I152" s="144">
        <f t="shared" si="66"/>
        <v>742.5</v>
      </c>
      <c r="J152" s="144">
        <f t="shared" si="66"/>
        <v>795</v>
      </c>
      <c r="K152" s="144">
        <f t="shared" si="66"/>
        <v>847.5000000000001</v>
      </c>
      <c r="L152" s="144">
        <f t="shared" si="66"/>
        <v>900.0000000000001</v>
      </c>
      <c r="M152" s="144">
        <f t="shared" si="66"/>
        <v>0</v>
      </c>
      <c r="N152" s="144">
        <f t="shared" si="66"/>
        <v>0</v>
      </c>
      <c r="O152" s="144">
        <f t="shared" si="66"/>
        <v>0</v>
      </c>
      <c r="P152" s="144">
        <f t="shared" si="66"/>
        <v>0</v>
      </c>
      <c r="Q152" s="144">
        <f t="shared" si="66"/>
        <v>0</v>
      </c>
      <c r="R152" s="144">
        <f t="shared" si="66"/>
        <v>0</v>
      </c>
      <c r="S152" s="144">
        <f t="shared" si="66"/>
        <v>0</v>
      </c>
      <c r="T152" s="144">
        <f t="shared" si="66"/>
        <v>0</v>
      </c>
      <c r="U152" s="46">
        <f t="shared" si="61"/>
        <v>6585</v>
      </c>
    </row>
    <row r="153" ht="13.5">
      <c r="D153" s="13"/>
    </row>
    <row r="154" spans="2:4" ht="13.5">
      <c r="B154" s="12" t="s">
        <v>190</v>
      </c>
      <c r="D154" s="37">
        <v>0.2</v>
      </c>
    </row>
    <row r="155" spans="2:20" ht="13.5">
      <c r="B155" s="111"/>
      <c r="C155" s="117">
        <v>1</v>
      </c>
      <c r="D155" s="117">
        <v>2</v>
      </c>
      <c r="E155" s="117">
        <v>3</v>
      </c>
      <c r="F155" s="117">
        <v>4</v>
      </c>
      <c r="G155" s="117">
        <v>5</v>
      </c>
      <c r="H155" s="117">
        <v>6</v>
      </c>
      <c r="I155" s="117">
        <v>7</v>
      </c>
      <c r="J155" s="117">
        <v>8</v>
      </c>
      <c r="K155" s="117">
        <v>9</v>
      </c>
      <c r="L155" s="117">
        <v>10</v>
      </c>
      <c r="M155" s="117">
        <v>11</v>
      </c>
      <c r="N155" s="117">
        <v>12</v>
      </c>
      <c r="O155" s="117">
        <v>13</v>
      </c>
      <c r="P155" s="117">
        <v>14</v>
      </c>
      <c r="Q155" s="117">
        <v>15</v>
      </c>
      <c r="R155" s="117">
        <v>16</v>
      </c>
      <c r="S155" s="117">
        <v>17</v>
      </c>
      <c r="T155" s="117">
        <v>18</v>
      </c>
    </row>
    <row r="156" spans="2:21" ht="13.5">
      <c r="B156" s="59" t="s">
        <v>97</v>
      </c>
      <c r="C156" s="143">
        <f>(C42*C55)/1000</f>
        <v>0</v>
      </c>
      <c r="D156" s="143">
        <f aca="true" t="shared" si="67" ref="D156:T156">(D42*D55)/1000</f>
        <v>0</v>
      </c>
      <c r="E156" s="143">
        <f t="shared" si="67"/>
        <v>0</v>
      </c>
      <c r="F156" s="143">
        <f t="shared" si="67"/>
        <v>0</v>
      </c>
      <c r="G156" s="143">
        <f t="shared" si="67"/>
        <v>0</v>
      </c>
      <c r="H156" s="143">
        <f t="shared" si="67"/>
        <v>0</v>
      </c>
      <c r="I156" s="143">
        <f t="shared" si="67"/>
        <v>1360.0000000000005</v>
      </c>
      <c r="J156" s="143">
        <f t="shared" si="67"/>
        <v>2946.666666666667</v>
      </c>
      <c r="K156" s="143">
        <f t="shared" si="67"/>
        <v>5553.333333333333</v>
      </c>
      <c r="L156" s="143">
        <f t="shared" si="67"/>
        <v>10200</v>
      </c>
      <c r="M156" s="143">
        <f t="shared" si="67"/>
        <v>19040.000000000004</v>
      </c>
      <c r="N156" s="143">
        <f t="shared" si="67"/>
        <v>26973.333333333336</v>
      </c>
      <c r="O156" s="143">
        <f t="shared" si="67"/>
        <v>5100</v>
      </c>
      <c r="P156" s="143">
        <f t="shared" si="67"/>
        <v>40913.333333333336</v>
      </c>
      <c r="Q156" s="143">
        <f t="shared" si="67"/>
        <v>51000</v>
      </c>
      <c r="R156" s="143">
        <f t="shared" si="67"/>
        <v>2380.0000000000005</v>
      </c>
      <c r="S156" s="143">
        <f t="shared" si="67"/>
        <v>72306.66666666666</v>
      </c>
      <c r="T156" s="143">
        <f t="shared" si="67"/>
        <v>78200</v>
      </c>
      <c r="U156" s="46">
        <f aca="true" t="shared" si="68" ref="U156:U161">SUM(C156:T156)</f>
        <v>315973.3333333334</v>
      </c>
    </row>
    <row r="157" spans="2:21" ht="13.5">
      <c r="B157" s="33" t="s">
        <v>14</v>
      </c>
      <c r="C157" s="130">
        <f aca="true" t="shared" si="69" ref="C157:T157">(C47*C68)/1000</f>
        <v>0</v>
      </c>
      <c r="D157" s="130">
        <f t="shared" si="69"/>
        <v>0</v>
      </c>
      <c r="E157" s="130">
        <f t="shared" si="69"/>
        <v>0</v>
      </c>
      <c r="F157" s="130">
        <f t="shared" si="69"/>
        <v>777.6</v>
      </c>
      <c r="G157" s="130">
        <f t="shared" si="69"/>
        <v>1512</v>
      </c>
      <c r="H157" s="130">
        <f t="shared" si="69"/>
        <v>2138.4000000000005</v>
      </c>
      <c r="I157" s="130">
        <f t="shared" si="69"/>
        <v>2592.0000000000005</v>
      </c>
      <c r="J157" s="130">
        <f t="shared" si="69"/>
        <v>2808</v>
      </c>
      <c r="K157" s="130">
        <f t="shared" si="69"/>
        <v>3024</v>
      </c>
      <c r="L157" s="130">
        <f t="shared" si="69"/>
        <v>3240</v>
      </c>
      <c r="M157" s="130">
        <f t="shared" si="69"/>
        <v>3456</v>
      </c>
      <c r="N157" s="130">
        <f t="shared" si="69"/>
        <v>3672.0000000000005</v>
      </c>
      <c r="O157" s="130">
        <f t="shared" si="69"/>
        <v>3888</v>
      </c>
      <c r="P157" s="130">
        <f t="shared" si="69"/>
        <v>4104.000000000001</v>
      </c>
      <c r="Q157" s="130">
        <f t="shared" si="69"/>
        <v>4320</v>
      </c>
      <c r="R157" s="130">
        <f t="shared" si="69"/>
        <v>4536</v>
      </c>
      <c r="S157" s="130">
        <f t="shared" si="69"/>
        <v>4752.000000000001</v>
      </c>
      <c r="T157" s="130">
        <f t="shared" si="69"/>
        <v>4968</v>
      </c>
      <c r="U157" s="46">
        <f t="shared" si="68"/>
        <v>49788</v>
      </c>
    </row>
    <row r="158" spans="2:21" ht="13.5">
      <c r="B158" s="107" t="s">
        <v>4</v>
      </c>
      <c r="C158" s="130">
        <f aca="true" t="shared" si="70" ref="C158:T158">(C43*C59)/1000</f>
        <v>210</v>
      </c>
      <c r="D158" s="130">
        <f t="shared" si="70"/>
        <v>293.99999999999994</v>
      </c>
      <c r="E158" s="130">
        <f t="shared" si="70"/>
        <v>336</v>
      </c>
      <c r="F158" s="130">
        <f t="shared" si="70"/>
        <v>378</v>
      </c>
      <c r="G158" s="130">
        <f t="shared" si="70"/>
        <v>420</v>
      </c>
      <c r="H158" s="130">
        <f t="shared" si="70"/>
        <v>462.00000000000006</v>
      </c>
      <c r="I158" s="130">
        <f t="shared" si="70"/>
        <v>504.00000000000006</v>
      </c>
      <c r="J158" s="130">
        <f t="shared" si="70"/>
        <v>546</v>
      </c>
      <c r="K158" s="130">
        <f t="shared" si="70"/>
        <v>587.9999999999999</v>
      </c>
      <c r="L158" s="130">
        <f t="shared" si="70"/>
        <v>630</v>
      </c>
      <c r="M158" s="130">
        <f t="shared" si="70"/>
        <v>0</v>
      </c>
      <c r="N158" s="130">
        <f t="shared" si="70"/>
        <v>0</v>
      </c>
      <c r="O158" s="130">
        <f t="shared" si="70"/>
        <v>0</v>
      </c>
      <c r="P158" s="130">
        <f t="shared" si="70"/>
        <v>0</v>
      </c>
      <c r="Q158" s="130">
        <f t="shared" si="70"/>
        <v>0</v>
      </c>
      <c r="R158" s="130">
        <f t="shared" si="70"/>
        <v>0</v>
      </c>
      <c r="S158" s="130">
        <f t="shared" si="70"/>
        <v>0</v>
      </c>
      <c r="T158" s="130">
        <f t="shared" si="70"/>
        <v>0</v>
      </c>
      <c r="U158" s="46">
        <f t="shared" si="68"/>
        <v>4368</v>
      </c>
    </row>
    <row r="159" spans="2:21" ht="13.5">
      <c r="B159" s="107" t="s">
        <v>5</v>
      </c>
      <c r="C159" s="130">
        <f aca="true" t="shared" si="71" ref="C159:T159">(C44*C61)/1000</f>
        <v>450</v>
      </c>
      <c r="D159" s="130">
        <f t="shared" si="71"/>
        <v>630</v>
      </c>
      <c r="E159" s="130">
        <f t="shared" si="71"/>
        <v>720</v>
      </c>
      <c r="F159" s="130">
        <f t="shared" si="71"/>
        <v>810</v>
      </c>
      <c r="G159" s="130">
        <f t="shared" si="71"/>
        <v>900</v>
      </c>
      <c r="H159" s="130">
        <f t="shared" si="71"/>
        <v>990</v>
      </c>
      <c r="I159" s="130">
        <f t="shared" si="71"/>
        <v>1080.0000000000002</v>
      </c>
      <c r="J159" s="130">
        <f t="shared" si="71"/>
        <v>1170</v>
      </c>
      <c r="K159" s="130">
        <f t="shared" si="71"/>
        <v>1260</v>
      </c>
      <c r="L159" s="130">
        <f t="shared" si="71"/>
        <v>1350</v>
      </c>
      <c r="M159" s="130">
        <f t="shared" si="71"/>
        <v>0</v>
      </c>
      <c r="N159" s="130">
        <f t="shared" si="71"/>
        <v>0</v>
      </c>
      <c r="O159" s="130">
        <f t="shared" si="71"/>
        <v>0</v>
      </c>
      <c r="P159" s="130">
        <f t="shared" si="71"/>
        <v>0</v>
      </c>
      <c r="Q159" s="130">
        <f t="shared" si="71"/>
        <v>0</v>
      </c>
      <c r="R159" s="130">
        <f t="shared" si="71"/>
        <v>0</v>
      </c>
      <c r="S159" s="130">
        <f t="shared" si="71"/>
        <v>0</v>
      </c>
      <c r="T159" s="130">
        <f t="shared" si="71"/>
        <v>0</v>
      </c>
      <c r="U159" s="46">
        <f t="shared" si="68"/>
        <v>9360</v>
      </c>
    </row>
    <row r="160" spans="2:21" ht="13.5">
      <c r="B160" s="107" t="s">
        <v>6</v>
      </c>
      <c r="C160" s="130">
        <f aca="true" t="shared" si="72" ref="C160:T160">(C45*C63)/1000</f>
        <v>562.5</v>
      </c>
      <c r="D160" s="130">
        <f t="shared" si="72"/>
        <v>787.5</v>
      </c>
      <c r="E160" s="130">
        <f t="shared" si="72"/>
        <v>900</v>
      </c>
      <c r="F160" s="130">
        <f t="shared" si="72"/>
        <v>1012.5</v>
      </c>
      <c r="G160" s="130">
        <f t="shared" si="72"/>
        <v>1125</v>
      </c>
      <c r="H160" s="130">
        <f t="shared" si="72"/>
        <v>1237.5</v>
      </c>
      <c r="I160" s="130">
        <f t="shared" si="72"/>
        <v>1350.0000000000002</v>
      </c>
      <c r="J160" s="130">
        <f t="shared" si="72"/>
        <v>1462.5</v>
      </c>
      <c r="K160" s="130">
        <f t="shared" si="72"/>
        <v>1575</v>
      </c>
      <c r="L160" s="130">
        <f t="shared" si="72"/>
        <v>1687.5</v>
      </c>
      <c r="M160" s="130">
        <f t="shared" si="72"/>
        <v>0</v>
      </c>
      <c r="N160" s="130">
        <f t="shared" si="72"/>
        <v>0</v>
      </c>
      <c r="O160" s="130">
        <f t="shared" si="72"/>
        <v>0</v>
      </c>
      <c r="P160" s="130">
        <f t="shared" si="72"/>
        <v>0</v>
      </c>
      <c r="Q160" s="130">
        <f t="shared" si="72"/>
        <v>0</v>
      </c>
      <c r="R160" s="130">
        <f t="shared" si="72"/>
        <v>0</v>
      </c>
      <c r="S160" s="130">
        <f t="shared" si="72"/>
        <v>0</v>
      </c>
      <c r="T160" s="130">
        <f t="shared" si="72"/>
        <v>0</v>
      </c>
      <c r="U160" s="46">
        <f t="shared" si="68"/>
        <v>11700</v>
      </c>
    </row>
    <row r="161" spans="2:21" ht="13.5">
      <c r="B161" s="139" t="s">
        <v>7</v>
      </c>
      <c r="C161" s="144">
        <f aca="true" t="shared" si="73" ref="C161:T161">(C46*C65)/1000</f>
        <v>375</v>
      </c>
      <c r="D161" s="144">
        <f t="shared" si="73"/>
        <v>525</v>
      </c>
      <c r="E161" s="144">
        <f t="shared" si="73"/>
        <v>600</v>
      </c>
      <c r="F161" s="144">
        <f t="shared" si="73"/>
        <v>675</v>
      </c>
      <c r="G161" s="144">
        <f t="shared" si="73"/>
        <v>750</v>
      </c>
      <c r="H161" s="144">
        <f t="shared" si="73"/>
        <v>825.0000000000001</v>
      </c>
      <c r="I161" s="144">
        <f t="shared" si="73"/>
        <v>900.0000000000001</v>
      </c>
      <c r="J161" s="144">
        <f t="shared" si="73"/>
        <v>975</v>
      </c>
      <c r="K161" s="144">
        <f t="shared" si="73"/>
        <v>1050</v>
      </c>
      <c r="L161" s="144">
        <f t="shared" si="73"/>
        <v>1125</v>
      </c>
      <c r="M161" s="144">
        <f t="shared" si="73"/>
        <v>0</v>
      </c>
      <c r="N161" s="144">
        <f t="shared" si="73"/>
        <v>0</v>
      </c>
      <c r="O161" s="144">
        <f t="shared" si="73"/>
        <v>0</v>
      </c>
      <c r="P161" s="144">
        <f t="shared" si="73"/>
        <v>0</v>
      </c>
      <c r="Q161" s="144">
        <f t="shared" si="73"/>
        <v>0</v>
      </c>
      <c r="R161" s="144">
        <f t="shared" si="73"/>
        <v>0</v>
      </c>
      <c r="S161" s="144">
        <f t="shared" si="73"/>
        <v>0</v>
      </c>
      <c r="T161" s="144">
        <f t="shared" si="73"/>
        <v>0</v>
      </c>
      <c r="U161" s="46">
        <f t="shared" si="68"/>
        <v>7800</v>
      </c>
    </row>
    <row r="163" ht="13.5">
      <c r="D163" s="13"/>
    </row>
    <row r="164" spans="2:4" s="177" customFormat="1" ht="13.5">
      <c r="B164" s="177" t="s">
        <v>191</v>
      </c>
      <c r="D164" s="178"/>
    </row>
    <row r="165" ht="13.5">
      <c r="D165" s="37" t="s">
        <v>2</v>
      </c>
    </row>
    <row r="166" spans="1:21" ht="13.5">
      <c r="A166" s="173" t="s">
        <v>144</v>
      </c>
      <c r="B166" s="75" t="s">
        <v>145</v>
      </c>
      <c r="C166" s="75" t="s">
        <v>3</v>
      </c>
      <c r="D166" s="76">
        <v>1</v>
      </c>
      <c r="E166" s="76">
        <v>2</v>
      </c>
      <c r="F166" s="76">
        <v>3</v>
      </c>
      <c r="G166" s="76">
        <v>4</v>
      </c>
      <c r="H166" s="76">
        <v>5</v>
      </c>
      <c r="I166" s="76">
        <v>6</v>
      </c>
      <c r="J166" s="76">
        <v>7</v>
      </c>
      <c r="K166" s="76">
        <v>8</v>
      </c>
      <c r="L166" s="76">
        <v>9</v>
      </c>
      <c r="M166" s="76">
        <v>10</v>
      </c>
      <c r="N166" s="76">
        <v>11</v>
      </c>
      <c r="O166" s="76">
        <v>12</v>
      </c>
      <c r="P166" s="76">
        <v>13</v>
      </c>
      <c r="Q166" s="76">
        <v>14</v>
      </c>
      <c r="R166" s="76">
        <v>15</v>
      </c>
      <c r="S166" s="76">
        <v>16</v>
      </c>
      <c r="T166" s="76">
        <v>17</v>
      </c>
      <c r="U166" s="76">
        <v>18</v>
      </c>
    </row>
    <row r="167" spans="1:27" ht="13.5">
      <c r="A167" s="173"/>
      <c r="B167" s="77" t="s">
        <v>97</v>
      </c>
      <c r="C167" s="174" t="s">
        <v>137</v>
      </c>
      <c r="D167" s="78">
        <f aca="true" t="shared" si="74" ref="D167:S172">C137-C110</f>
        <v>-2518.4392</v>
      </c>
      <c r="E167" s="78">
        <f t="shared" si="74"/>
        <v>-1287.5511</v>
      </c>
      <c r="F167" s="78">
        <f t="shared" si="74"/>
        <v>-2380.6721500000003</v>
      </c>
      <c r="G167" s="78">
        <f t="shared" si="74"/>
        <v>-1270.9812</v>
      </c>
      <c r="H167" s="78">
        <f t="shared" si="74"/>
        <v>-1420.34025</v>
      </c>
      <c r="I167" s="78">
        <f t="shared" si="74"/>
        <v>-1554.6993000000002</v>
      </c>
      <c r="J167" s="78">
        <f t="shared" si="74"/>
        <v>-746.3416833333333</v>
      </c>
      <c r="K167" s="84">
        <f t="shared" si="74"/>
        <v>187.1159333333335</v>
      </c>
      <c r="L167" s="78">
        <f t="shared" si="74"/>
        <v>1735.4068833333329</v>
      </c>
      <c r="M167" s="78">
        <f t="shared" si="74"/>
        <v>4513.3645</v>
      </c>
      <c r="N167" s="78">
        <f t="shared" si="74"/>
        <v>9712.105450000003</v>
      </c>
      <c r="O167" s="78">
        <f t="shared" si="74"/>
        <v>14276.679733333332</v>
      </c>
      <c r="P167" s="78">
        <f t="shared" si="74"/>
        <v>720.704016666667</v>
      </c>
      <c r="Q167" s="78">
        <f t="shared" si="74"/>
        <v>21847.694966666662</v>
      </c>
      <c r="R167" s="78">
        <f t="shared" si="74"/>
        <v>27554.819249999993</v>
      </c>
      <c r="S167" s="78">
        <f t="shared" si="74"/>
        <v>-1293.086133333333</v>
      </c>
      <c r="T167" s="78">
        <f aca="true" t="shared" si="75" ref="T167:U172">S137-S110</f>
        <v>38801.88473333333</v>
      </c>
      <c r="U167" s="79">
        <f t="shared" si="75"/>
        <v>40386.2651</v>
      </c>
      <c r="V167" s="79">
        <f aca="true" t="shared" si="76" ref="V167:V177">SUM(D167:U167)</f>
        <v>147263.92955</v>
      </c>
      <c r="W167" s="74">
        <f>SUM(K167:U167)</f>
        <v>158442.95443333333</v>
      </c>
      <c r="X167" s="74"/>
      <c r="Y167" s="74"/>
      <c r="Z167" s="74"/>
      <c r="AA167" s="74"/>
    </row>
    <row r="168" spans="1:27" ht="13.5">
      <c r="A168" s="173"/>
      <c r="B168" s="80" t="s">
        <v>14</v>
      </c>
      <c r="C168" s="175"/>
      <c r="D168" s="79">
        <f t="shared" si="74"/>
        <v>-181</v>
      </c>
      <c r="E168" s="79">
        <f t="shared" si="74"/>
        <v>0</v>
      </c>
      <c r="F168" s="79">
        <f t="shared" si="74"/>
        <v>0</v>
      </c>
      <c r="G168" s="79">
        <f t="shared" si="74"/>
        <v>505.91999999999996</v>
      </c>
      <c r="H168" s="79">
        <f t="shared" si="74"/>
        <v>943.95</v>
      </c>
      <c r="I168" s="79">
        <f t="shared" si="74"/>
        <v>1288.98</v>
      </c>
      <c r="J168" s="79">
        <f t="shared" si="74"/>
        <v>1515.9</v>
      </c>
      <c r="K168" s="79">
        <f t="shared" si="74"/>
        <v>1599.6</v>
      </c>
      <c r="L168" s="79">
        <f t="shared" si="74"/>
        <v>1683.3</v>
      </c>
      <c r="M168" s="79">
        <f t="shared" si="74"/>
        <v>1767</v>
      </c>
      <c r="N168" s="79">
        <f t="shared" si="74"/>
        <v>1850.6999999999998</v>
      </c>
      <c r="O168" s="79">
        <f t="shared" si="74"/>
        <v>1934.4</v>
      </c>
      <c r="P168" s="79">
        <f t="shared" si="74"/>
        <v>2018.1</v>
      </c>
      <c r="Q168" s="79">
        <f t="shared" si="74"/>
        <v>2101.7999999999997</v>
      </c>
      <c r="R168" s="79">
        <f t="shared" si="74"/>
        <v>2185.4999999999995</v>
      </c>
      <c r="S168" s="79">
        <f t="shared" si="74"/>
        <v>2269.2</v>
      </c>
      <c r="T168" s="79">
        <f t="shared" si="75"/>
        <v>2352.9</v>
      </c>
      <c r="U168" s="79">
        <f t="shared" si="75"/>
        <v>2436.6</v>
      </c>
      <c r="V168" s="79">
        <f t="shared" si="76"/>
        <v>26272.850000000002</v>
      </c>
      <c r="W168" s="74"/>
      <c r="X168" s="74"/>
      <c r="Y168" s="74"/>
      <c r="Z168" s="74"/>
      <c r="AA168" s="74"/>
    </row>
    <row r="169" spans="1:27" ht="13.5">
      <c r="A169" s="173"/>
      <c r="B169" s="80" t="s">
        <v>4</v>
      </c>
      <c r="C169" s="175"/>
      <c r="D169" s="79">
        <f t="shared" si="74"/>
        <v>35.25</v>
      </c>
      <c r="E169" s="79">
        <f t="shared" si="74"/>
        <v>41.59500000000003</v>
      </c>
      <c r="F169" s="79">
        <f t="shared" si="74"/>
        <v>44.767499999999984</v>
      </c>
      <c r="G169" s="79">
        <f t="shared" si="74"/>
        <v>47.94</v>
      </c>
      <c r="H169" s="79">
        <f t="shared" si="74"/>
        <v>51.11250000000001</v>
      </c>
      <c r="I169" s="79">
        <f t="shared" si="74"/>
        <v>54.28499999999997</v>
      </c>
      <c r="J169" s="79">
        <f t="shared" si="74"/>
        <v>57.45750000000004</v>
      </c>
      <c r="K169" s="79">
        <f t="shared" si="74"/>
        <v>60.629999999999995</v>
      </c>
      <c r="L169" s="79">
        <f t="shared" si="74"/>
        <v>63.80250000000001</v>
      </c>
      <c r="M169" s="79">
        <f t="shared" si="74"/>
        <v>66.97500000000002</v>
      </c>
      <c r="N169" s="79">
        <f t="shared" si="74"/>
        <v>0</v>
      </c>
      <c r="O169" s="79">
        <f t="shared" si="74"/>
        <v>0</v>
      </c>
      <c r="P169" s="79">
        <f t="shared" si="74"/>
        <v>0</v>
      </c>
      <c r="Q169" s="79">
        <f t="shared" si="74"/>
        <v>0</v>
      </c>
      <c r="R169" s="79">
        <f t="shared" si="74"/>
        <v>0</v>
      </c>
      <c r="S169" s="79">
        <f t="shared" si="74"/>
        <v>0</v>
      </c>
      <c r="T169" s="79">
        <f t="shared" si="75"/>
        <v>0</v>
      </c>
      <c r="U169" s="79">
        <f t="shared" si="75"/>
        <v>0</v>
      </c>
      <c r="V169" s="79">
        <f t="shared" si="76"/>
        <v>523.815</v>
      </c>
      <c r="W169" s="74"/>
      <c r="X169" s="74"/>
      <c r="Y169" s="74"/>
      <c r="Z169" s="74"/>
      <c r="AA169" s="74"/>
    </row>
    <row r="170" spans="1:27" ht="13.5">
      <c r="A170" s="173"/>
      <c r="B170" s="80" t="s">
        <v>5</v>
      </c>
      <c r="C170" s="175"/>
      <c r="D170" s="79">
        <f t="shared" si="74"/>
        <v>187.5</v>
      </c>
      <c r="E170" s="79">
        <f t="shared" si="74"/>
        <v>221.25</v>
      </c>
      <c r="F170" s="79">
        <f t="shared" si="74"/>
        <v>238.125</v>
      </c>
      <c r="G170" s="79">
        <f t="shared" si="74"/>
        <v>254.99999999999994</v>
      </c>
      <c r="H170" s="79">
        <f t="shared" si="74"/>
        <v>271.875</v>
      </c>
      <c r="I170" s="79">
        <f t="shared" si="74"/>
        <v>288.75</v>
      </c>
      <c r="J170" s="79">
        <f t="shared" si="74"/>
        <v>305.625</v>
      </c>
      <c r="K170" s="79">
        <f t="shared" si="74"/>
        <v>322.5</v>
      </c>
      <c r="L170" s="79">
        <f t="shared" si="74"/>
        <v>339.375</v>
      </c>
      <c r="M170" s="79">
        <f t="shared" si="74"/>
        <v>356.25</v>
      </c>
      <c r="N170" s="79">
        <f t="shared" si="74"/>
        <v>0</v>
      </c>
      <c r="O170" s="79">
        <f t="shared" si="74"/>
        <v>0</v>
      </c>
      <c r="P170" s="79">
        <f t="shared" si="74"/>
        <v>0</v>
      </c>
      <c r="Q170" s="79">
        <f t="shared" si="74"/>
        <v>0</v>
      </c>
      <c r="R170" s="79">
        <f t="shared" si="74"/>
        <v>0</v>
      </c>
      <c r="S170" s="79">
        <f t="shared" si="74"/>
        <v>0</v>
      </c>
      <c r="T170" s="79">
        <f t="shared" si="75"/>
        <v>0</v>
      </c>
      <c r="U170" s="79">
        <f t="shared" si="75"/>
        <v>0</v>
      </c>
      <c r="V170" s="79">
        <f t="shared" si="76"/>
        <v>2786.25</v>
      </c>
      <c r="W170" s="74"/>
      <c r="X170" s="74"/>
      <c r="Y170" s="74"/>
      <c r="Z170" s="74"/>
      <c r="AA170" s="74"/>
    </row>
    <row r="171" spans="1:27" ht="13.5">
      <c r="A171" s="173"/>
      <c r="B171" s="80" t="s">
        <v>133</v>
      </c>
      <c r="C171" s="175"/>
      <c r="D171" s="79">
        <f t="shared" si="74"/>
        <v>306.5</v>
      </c>
      <c r="E171" s="79">
        <f t="shared" si="74"/>
        <v>361.67</v>
      </c>
      <c r="F171" s="79">
        <f t="shared" si="74"/>
        <v>389.255</v>
      </c>
      <c r="G171" s="79">
        <f t="shared" si="74"/>
        <v>416.8399999999999</v>
      </c>
      <c r="H171" s="79">
        <f t="shared" si="74"/>
        <v>444.425</v>
      </c>
      <c r="I171" s="79">
        <f t="shared" si="74"/>
        <v>472.01</v>
      </c>
      <c r="J171" s="79">
        <f t="shared" si="74"/>
        <v>499.595</v>
      </c>
      <c r="K171" s="79">
        <f t="shared" si="74"/>
        <v>527.1800000000001</v>
      </c>
      <c r="L171" s="79">
        <f t="shared" si="74"/>
        <v>554.765</v>
      </c>
      <c r="M171" s="79">
        <f t="shared" si="74"/>
        <v>582.35</v>
      </c>
      <c r="N171" s="79">
        <f t="shared" si="74"/>
        <v>0</v>
      </c>
      <c r="O171" s="79">
        <f t="shared" si="74"/>
        <v>0</v>
      </c>
      <c r="P171" s="79">
        <f t="shared" si="74"/>
        <v>0</v>
      </c>
      <c r="Q171" s="79">
        <f t="shared" si="74"/>
        <v>0</v>
      </c>
      <c r="R171" s="79">
        <f t="shared" si="74"/>
        <v>0</v>
      </c>
      <c r="S171" s="79">
        <f t="shared" si="74"/>
        <v>0</v>
      </c>
      <c r="T171" s="79">
        <f t="shared" si="75"/>
        <v>0</v>
      </c>
      <c r="U171" s="79">
        <f t="shared" si="75"/>
        <v>0</v>
      </c>
      <c r="V171" s="79">
        <f t="shared" si="76"/>
        <v>4554.59</v>
      </c>
      <c r="W171" s="74"/>
      <c r="X171" s="74"/>
      <c r="Y171" s="74"/>
      <c r="Z171" s="74"/>
      <c r="AA171" s="74"/>
    </row>
    <row r="172" spans="1:27" ht="13.5">
      <c r="A172" s="173"/>
      <c r="B172" s="81" t="s">
        <v>7</v>
      </c>
      <c r="C172" s="176"/>
      <c r="D172" s="82">
        <f t="shared" si="74"/>
        <v>179</v>
      </c>
      <c r="E172" s="82">
        <f t="shared" si="74"/>
        <v>395.3</v>
      </c>
      <c r="F172" s="82">
        <f t="shared" si="74"/>
        <v>425.45</v>
      </c>
      <c r="G172" s="82">
        <f t="shared" si="74"/>
        <v>455.6</v>
      </c>
      <c r="H172" s="82">
        <f t="shared" si="74"/>
        <v>485.75</v>
      </c>
      <c r="I172" s="82">
        <f t="shared" si="74"/>
        <v>275.65999999999997</v>
      </c>
      <c r="J172" s="82">
        <f t="shared" si="74"/>
        <v>546.05</v>
      </c>
      <c r="K172" s="82">
        <f t="shared" si="74"/>
        <v>576.2</v>
      </c>
      <c r="L172" s="82">
        <f t="shared" si="74"/>
        <v>606.35</v>
      </c>
      <c r="M172" s="82">
        <f t="shared" si="74"/>
        <v>636.5</v>
      </c>
      <c r="N172" s="82">
        <f t="shared" si="74"/>
        <v>0</v>
      </c>
      <c r="O172" s="82">
        <f t="shared" si="74"/>
        <v>0</v>
      </c>
      <c r="P172" s="82">
        <f t="shared" si="74"/>
        <v>0</v>
      </c>
      <c r="Q172" s="82">
        <f t="shared" si="74"/>
        <v>0</v>
      </c>
      <c r="R172" s="82">
        <f t="shared" si="74"/>
        <v>0</v>
      </c>
      <c r="S172" s="82">
        <f t="shared" si="74"/>
        <v>0</v>
      </c>
      <c r="T172" s="82">
        <f t="shared" si="75"/>
        <v>0</v>
      </c>
      <c r="U172" s="82">
        <f t="shared" si="75"/>
        <v>0</v>
      </c>
      <c r="V172" s="82">
        <f t="shared" si="76"/>
        <v>4581.859999999999</v>
      </c>
      <c r="W172" s="74"/>
      <c r="X172" s="74"/>
      <c r="Y172" s="74"/>
      <c r="Z172" s="74"/>
      <c r="AA172" s="74"/>
    </row>
    <row r="173" spans="1:27" ht="13.5">
      <c r="A173" s="173"/>
      <c r="B173" s="77" t="s">
        <v>139</v>
      </c>
      <c r="C173" s="174" t="s">
        <v>138</v>
      </c>
      <c r="D173" s="78">
        <f>D167+D168</f>
        <v>-2699.4392</v>
      </c>
      <c r="E173" s="78">
        <f aca="true" t="shared" si="77" ref="E173:U173">E167+E168</f>
        <v>-1287.5511</v>
      </c>
      <c r="F173" s="78">
        <f t="shared" si="77"/>
        <v>-2380.6721500000003</v>
      </c>
      <c r="G173" s="78">
        <f t="shared" si="77"/>
        <v>-765.0612</v>
      </c>
      <c r="H173" s="78">
        <f t="shared" si="77"/>
        <v>-476.3902499999999</v>
      </c>
      <c r="I173" s="78">
        <f t="shared" si="77"/>
        <v>-265.7193000000002</v>
      </c>
      <c r="J173" s="84">
        <f t="shared" si="77"/>
        <v>769.5583166666668</v>
      </c>
      <c r="K173" s="78">
        <f t="shared" si="77"/>
        <v>1786.7159333333334</v>
      </c>
      <c r="L173" s="78">
        <f t="shared" si="77"/>
        <v>3418.706883333333</v>
      </c>
      <c r="M173" s="78">
        <f t="shared" si="77"/>
        <v>6280.3645</v>
      </c>
      <c r="N173" s="78">
        <f t="shared" si="77"/>
        <v>11562.805450000003</v>
      </c>
      <c r="O173" s="78">
        <f t="shared" si="77"/>
        <v>16211.079733333332</v>
      </c>
      <c r="P173" s="78">
        <f t="shared" si="77"/>
        <v>2738.804016666667</v>
      </c>
      <c r="Q173" s="78">
        <f t="shared" si="77"/>
        <v>23949.49496666666</v>
      </c>
      <c r="R173" s="78">
        <f t="shared" si="77"/>
        <v>29740.319249999993</v>
      </c>
      <c r="S173" s="78">
        <f t="shared" si="77"/>
        <v>976.1138666666668</v>
      </c>
      <c r="T173" s="78">
        <f t="shared" si="77"/>
        <v>41154.784733333334</v>
      </c>
      <c r="U173" s="78">
        <f t="shared" si="77"/>
        <v>42822.865099999995</v>
      </c>
      <c r="V173" s="78">
        <f t="shared" si="76"/>
        <v>173536.77954999998</v>
      </c>
      <c r="W173" s="74"/>
      <c r="X173" s="74"/>
      <c r="Y173" s="74"/>
      <c r="Z173" s="74"/>
      <c r="AA173" s="74"/>
    </row>
    <row r="174" spans="1:27" ht="13.5">
      <c r="A174" s="173"/>
      <c r="B174" s="80" t="s">
        <v>140</v>
      </c>
      <c r="C174" s="175"/>
      <c r="D174" s="79">
        <f>D173+D169</f>
        <v>-2664.1892</v>
      </c>
      <c r="E174" s="79">
        <f aca="true" t="shared" si="78" ref="E174:U177">E173+E169</f>
        <v>-1245.9560999999999</v>
      </c>
      <c r="F174" s="79">
        <f t="shared" si="78"/>
        <v>-2335.9046500000004</v>
      </c>
      <c r="G174" s="79">
        <f t="shared" si="78"/>
        <v>-717.1212</v>
      </c>
      <c r="H174" s="79">
        <f t="shared" si="78"/>
        <v>-425.2777499999999</v>
      </c>
      <c r="I174" s="79">
        <f t="shared" si="78"/>
        <v>-211.43430000000023</v>
      </c>
      <c r="J174" s="85">
        <f t="shared" si="78"/>
        <v>827.0158166666668</v>
      </c>
      <c r="K174" s="79">
        <f t="shared" si="78"/>
        <v>1847.3459333333335</v>
      </c>
      <c r="L174" s="79">
        <f t="shared" si="78"/>
        <v>3482.509383333333</v>
      </c>
      <c r="M174" s="79">
        <f t="shared" si="78"/>
        <v>6347.3395</v>
      </c>
      <c r="N174" s="79">
        <f t="shared" si="78"/>
        <v>11562.805450000003</v>
      </c>
      <c r="O174" s="79">
        <f t="shared" si="78"/>
        <v>16211.079733333332</v>
      </c>
      <c r="P174" s="79">
        <f t="shared" si="78"/>
        <v>2738.804016666667</v>
      </c>
      <c r="Q174" s="79">
        <f t="shared" si="78"/>
        <v>23949.49496666666</v>
      </c>
      <c r="R174" s="79">
        <f t="shared" si="78"/>
        <v>29740.319249999993</v>
      </c>
      <c r="S174" s="79">
        <f t="shared" si="78"/>
        <v>976.1138666666668</v>
      </c>
      <c r="T174" s="79">
        <f t="shared" si="78"/>
        <v>41154.784733333334</v>
      </c>
      <c r="U174" s="79">
        <f t="shared" si="78"/>
        <v>42822.865099999995</v>
      </c>
      <c r="V174" s="79">
        <f t="shared" si="76"/>
        <v>174060.59454999998</v>
      </c>
      <c r="W174" s="74"/>
      <c r="X174" s="74"/>
      <c r="Y174" s="74"/>
      <c r="Z174" s="74"/>
      <c r="AA174" s="74"/>
    </row>
    <row r="175" spans="1:27" ht="13.5">
      <c r="A175" s="173"/>
      <c r="B175" s="80" t="s">
        <v>141</v>
      </c>
      <c r="C175" s="175"/>
      <c r="D175" s="79">
        <f>D173+D170</f>
        <v>-2511.9392</v>
      </c>
      <c r="E175" s="79">
        <f aca="true" t="shared" si="79" ref="E175:M175">E173+E170</f>
        <v>-1066.3011</v>
      </c>
      <c r="F175" s="79">
        <f t="shared" si="79"/>
        <v>-2142.5471500000003</v>
      </c>
      <c r="G175" s="79">
        <f t="shared" si="79"/>
        <v>-510.06120000000004</v>
      </c>
      <c r="H175" s="79">
        <f t="shared" si="79"/>
        <v>-204.51524999999992</v>
      </c>
      <c r="I175" s="85">
        <f t="shared" si="79"/>
        <v>23.030699999999797</v>
      </c>
      <c r="J175" s="79">
        <f t="shared" si="79"/>
        <v>1075.1833166666668</v>
      </c>
      <c r="K175" s="79">
        <f t="shared" si="79"/>
        <v>2109.2159333333334</v>
      </c>
      <c r="L175" s="79">
        <f t="shared" si="79"/>
        <v>3758.081883333333</v>
      </c>
      <c r="M175" s="79">
        <f t="shared" si="79"/>
        <v>6636.6145</v>
      </c>
      <c r="N175" s="79">
        <f t="shared" si="78"/>
        <v>11562.805450000003</v>
      </c>
      <c r="O175" s="79">
        <f t="shared" si="78"/>
        <v>16211.079733333332</v>
      </c>
      <c r="P175" s="79">
        <f t="shared" si="78"/>
        <v>2738.804016666667</v>
      </c>
      <c r="Q175" s="79">
        <f t="shared" si="78"/>
        <v>23949.49496666666</v>
      </c>
      <c r="R175" s="79">
        <f t="shared" si="78"/>
        <v>29740.319249999993</v>
      </c>
      <c r="S175" s="79">
        <f t="shared" si="78"/>
        <v>976.1138666666668</v>
      </c>
      <c r="T175" s="79">
        <f t="shared" si="78"/>
        <v>41154.784733333334</v>
      </c>
      <c r="U175" s="79">
        <f t="shared" si="78"/>
        <v>42822.865099999995</v>
      </c>
      <c r="V175" s="79">
        <f t="shared" si="76"/>
        <v>176323.02954999998</v>
      </c>
      <c r="W175" s="74"/>
      <c r="X175" s="74"/>
      <c r="Y175" s="74"/>
      <c r="Z175" s="74"/>
      <c r="AA175" s="74"/>
    </row>
    <row r="176" spans="1:27" ht="13.5">
      <c r="A176" s="173"/>
      <c r="B176" s="80" t="s">
        <v>142</v>
      </c>
      <c r="C176" s="175"/>
      <c r="D176" s="79">
        <f>D173+D171</f>
        <v>-2392.9392</v>
      </c>
      <c r="E176" s="79">
        <f aca="true" t="shared" si="80" ref="E176:M176">E173+E171</f>
        <v>-925.8810999999998</v>
      </c>
      <c r="F176" s="79">
        <f t="shared" si="80"/>
        <v>-1991.4171500000002</v>
      </c>
      <c r="G176" s="79">
        <f t="shared" si="80"/>
        <v>-348.22120000000007</v>
      </c>
      <c r="H176" s="79">
        <f t="shared" si="80"/>
        <v>-31.965249999999912</v>
      </c>
      <c r="I176" s="85">
        <f t="shared" si="80"/>
        <v>206.2906999999998</v>
      </c>
      <c r="J176" s="79">
        <f t="shared" si="80"/>
        <v>1269.1533166666668</v>
      </c>
      <c r="K176" s="79">
        <f t="shared" si="80"/>
        <v>2313.8959333333332</v>
      </c>
      <c r="L176" s="79">
        <f t="shared" si="80"/>
        <v>3973.4718833333327</v>
      </c>
      <c r="M176" s="79">
        <f t="shared" si="80"/>
        <v>6862.7145</v>
      </c>
      <c r="N176" s="79">
        <f t="shared" si="78"/>
        <v>11562.805450000003</v>
      </c>
      <c r="O176" s="79">
        <f t="shared" si="78"/>
        <v>16211.079733333332</v>
      </c>
      <c r="P176" s="79">
        <f t="shared" si="78"/>
        <v>2738.804016666667</v>
      </c>
      <c r="Q176" s="79">
        <f t="shared" si="78"/>
        <v>23949.49496666666</v>
      </c>
      <c r="R176" s="79">
        <f t="shared" si="78"/>
        <v>29740.319249999993</v>
      </c>
      <c r="S176" s="79">
        <f t="shared" si="78"/>
        <v>976.1138666666668</v>
      </c>
      <c r="T176" s="79">
        <f t="shared" si="78"/>
        <v>41154.784733333334</v>
      </c>
      <c r="U176" s="79">
        <f t="shared" si="78"/>
        <v>42822.865099999995</v>
      </c>
      <c r="V176" s="79">
        <f t="shared" si="76"/>
        <v>178091.36955</v>
      </c>
      <c r="W176" s="74"/>
      <c r="X176" s="74"/>
      <c r="Y176" s="74"/>
      <c r="Z176" s="74"/>
      <c r="AA176" s="74"/>
    </row>
    <row r="177" spans="1:27" ht="13.5">
      <c r="A177" s="173"/>
      <c r="B177" s="81" t="s">
        <v>143</v>
      </c>
      <c r="C177" s="176"/>
      <c r="D177" s="82">
        <f>D173+D172</f>
        <v>-2520.4392</v>
      </c>
      <c r="E177" s="82">
        <f aca="true" t="shared" si="81" ref="E177:M177">E173+E172</f>
        <v>-892.2511</v>
      </c>
      <c r="F177" s="82">
        <f t="shared" si="81"/>
        <v>-1955.2221500000003</v>
      </c>
      <c r="G177" s="82">
        <f t="shared" si="81"/>
        <v>-309.46119999999996</v>
      </c>
      <c r="H177" s="86">
        <f t="shared" si="81"/>
        <v>9.359750000000076</v>
      </c>
      <c r="I177" s="82">
        <f t="shared" si="81"/>
        <v>9.940699999999765</v>
      </c>
      <c r="J177" s="82">
        <f t="shared" si="81"/>
        <v>1315.6083166666667</v>
      </c>
      <c r="K177" s="82">
        <f t="shared" si="81"/>
        <v>2362.9159333333337</v>
      </c>
      <c r="L177" s="82">
        <f t="shared" si="81"/>
        <v>4025.0568833333327</v>
      </c>
      <c r="M177" s="82">
        <f t="shared" si="81"/>
        <v>6916.8645</v>
      </c>
      <c r="N177" s="79">
        <f t="shared" si="78"/>
        <v>11562.805450000003</v>
      </c>
      <c r="O177" s="79">
        <f t="shared" si="78"/>
        <v>16211.079733333332</v>
      </c>
      <c r="P177" s="79">
        <f t="shared" si="78"/>
        <v>2738.804016666667</v>
      </c>
      <c r="Q177" s="79">
        <f t="shared" si="78"/>
        <v>23949.49496666666</v>
      </c>
      <c r="R177" s="79">
        <f t="shared" si="78"/>
        <v>29740.319249999993</v>
      </c>
      <c r="S177" s="79">
        <f t="shared" si="78"/>
        <v>976.1138666666668</v>
      </c>
      <c r="T177" s="79">
        <f t="shared" si="78"/>
        <v>41154.784733333334</v>
      </c>
      <c r="U177" s="79">
        <f t="shared" si="78"/>
        <v>42822.865099999995</v>
      </c>
      <c r="V177" s="79">
        <f t="shared" si="76"/>
        <v>178118.63954999996</v>
      </c>
      <c r="W177" s="74"/>
      <c r="X177" s="74"/>
      <c r="Y177" s="74"/>
      <c r="Z177" s="74"/>
      <c r="AA177" s="74"/>
    </row>
    <row r="178" spans="1:27" ht="13.5">
      <c r="A178" s="173" t="s">
        <v>173</v>
      </c>
      <c r="B178" s="77" t="s">
        <v>97</v>
      </c>
      <c r="C178" s="174" t="s">
        <v>137</v>
      </c>
      <c r="D178" s="78">
        <f aca="true" t="shared" si="82" ref="D178:S183">C147-C118</f>
        <v>-2518.4392</v>
      </c>
      <c r="E178" s="78">
        <f t="shared" si="82"/>
        <v>-1396.6656</v>
      </c>
      <c r="F178" s="78">
        <f t="shared" si="82"/>
        <v>-2661.8539</v>
      </c>
      <c r="G178" s="78">
        <f t="shared" si="82"/>
        <v>-1457.8902</v>
      </c>
      <c r="H178" s="78">
        <f t="shared" si="82"/>
        <v>-1665.2265000000002</v>
      </c>
      <c r="I178" s="78">
        <f t="shared" si="82"/>
        <v>-1857.5628000000002</v>
      </c>
      <c r="J178" s="78">
        <f t="shared" si="82"/>
        <v>-906.5990999999999</v>
      </c>
      <c r="K178" s="84">
        <f t="shared" si="82"/>
        <v>230.63126666666676</v>
      </c>
      <c r="L178" s="78">
        <f t="shared" si="82"/>
        <v>2166.8616333333334</v>
      </c>
      <c r="M178" s="78">
        <f t="shared" si="82"/>
        <v>5701.0920000000015</v>
      </c>
      <c r="N178" s="78">
        <f t="shared" si="82"/>
        <v>12396.355700000002</v>
      </c>
      <c r="O178" s="78">
        <f t="shared" si="82"/>
        <v>18394.95273333333</v>
      </c>
      <c r="P178" s="78">
        <f t="shared" si="82"/>
        <v>936.5831000000003</v>
      </c>
      <c r="Q178" s="78">
        <f t="shared" si="82"/>
        <v>28614.68013333333</v>
      </c>
      <c r="R178" s="78">
        <f t="shared" si="82"/>
        <v>36348.9105</v>
      </c>
      <c r="S178" s="78">
        <f t="shared" si="82"/>
        <v>-1717.0487999999998</v>
      </c>
      <c r="T178" s="78">
        <f aca="true" t="shared" si="83" ref="T178:U183">S147-S118</f>
        <v>51838.091066666675</v>
      </c>
      <c r="U178" s="78">
        <f t="shared" si="83"/>
        <v>54259.409600000006</v>
      </c>
      <c r="V178" s="78">
        <f>SUM(D178:U178)</f>
        <v>196706.28163333336</v>
      </c>
      <c r="W178" s="74"/>
      <c r="X178" s="74"/>
      <c r="Y178" s="74"/>
      <c r="Z178" s="74"/>
      <c r="AA178" s="74"/>
    </row>
    <row r="179" spans="1:27" ht="13.5">
      <c r="A179" s="173"/>
      <c r="B179" s="80" t="s">
        <v>14</v>
      </c>
      <c r="C179" s="175"/>
      <c r="D179" s="79">
        <f t="shared" si="82"/>
        <v>-181</v>
      </c>
      <c r="E179" s="79">
        <f t="shared" si="82"/>
        <v>0</v>
      </c>
      <c r="F179" s="79">
        <f t="shared" si="82"/>
        <v>0</v>
      </c>
      <c r="G179" s="79">
        <f t="shared" si="82"/>
        <v>580.3199999999999</v>
      </c>
      <c r="H179" s="79">
        <f t="shared" si="82"/>
        <v>1106.7000000000003</v>
      </c>
      <c r="I179" s="79">
        <f t="shared" si="82"/>
        <v>1540.08</v>
      </c>
      <c r="J179" s="79">
        <f t="shared" si="82"/>
        <v>1841.4</v>
      </c>
      <c r="K179" s="79">
        <f t="shared" si="82"/>
        <v>1971.6</v>
      </c>
      <c r="L179" s="79">
        <f t="shared" si="82"/>
        <v>2101.8000000000006</v>
      </c>
      <c r="M179" s="79">
        <f t="shared" si="82"/>
        <v>2232.0000000000005</v>
      </c>
      <c r="N179" s="79">
        <f t="shared" si="82"/>
        <v>2362.2</v>
      </c>
      <c r="O179" s="79">
        <f t="shared" si="82"/>
        <v>2492.4</v>
      </c>
      <c r="P179" s="79">
        <f t="shared" si="82"/>
        <v>2622.6000000000004</v>
      </c>
      <c r="Q179" s="79">
        <f t="shared" si="82"/>
        <v>2752.8</v>
      </c>
      <c r="R179" s="79">
        <f t="shared" si="82"/>
        <v>2883</v>
      </c>
      <c r="S179" s="79">
        <f t="shared" si="82"/>
        <v>3013.2</v>
      </c>
      <c r="T179" s="79">
        <f t="shared" si="83"/>
        <v>3143.4000000000005</v>
      </c>
      <c r="U179" s="79">
        <f t="shared" si="83"/>
        <v>3273.6000000000004</v>
      </c>
      <c r="V179" s="79">
        <f aca="true" t="shared" si="84" ref="V179:V199">SUM(D179:U179)</f>
        <v>33736.100000000006</v>
      </c>
      <c r="W179" s="74"/>
      <c r="X179" s="74"/>
      <c r="Y179" s="74"/>
      <c r="Z179" s="74"/>
      <c r="AA179" s="74"/>
    </row>
    <row r="180" spans="1:27" ht="13.5">
      <c r="A180" s="173"/>
      <c r="B180" s="80" t="s">
        <v>4</v>
      </c>
      <c r="C180" s="175"/>
      <c r="D180" s="79">
        <f t="shared" si="82"/>
        <v>35.25</v>
      </c>
      <c r="E180" s="79">
        <f t="shared" si="82"/>
        <v>45.120000000000005</v>
      </c>
      <c r="F180" s="79">
        <f t="shared" si="82"/>
        <v>50.05500000000001</v>
      </c>
      <c r="G180" s="79">
        <f t="shared" si="82"/>
        <v>54.99000000000001</v>
      </c>
      <c r="H180" s="79">
        <f t="shared" si="82"/>
        <v>59.92500000000001</v>
      </c>
      <c r="I180" s="79">
        <f t="shared" si="82"/>
        <v>64.85999999999996</v>
      </c>
      <c r="J180" s="79">
        <f t="shared" si="82"/>
        <v>69.79500000000002</v>
      </c>
      <c r="K180" s="79">
        <f t="shared" si="82"/>
        <v>74.72999999999996</v>
      </c>
      <c r="L180" s="79">
        <f t="shared" si="82"/>
        <v>79.66500000000002</v>
      </c>
      <c r="M180" s="79">
        <f t="shared" si="82"/>
        <v>84.60000000000002</v>
      </c>
      <c r="N180" s="79">
        <f t="shared" si="82"/>
        <v>0</v>
      </c>
      <c r="O180" s="79">
        <f t="shared" si="82"/>
        <v>0</v>
      </c>
      <c r="P180" s="79">
        <f t="shared" si="82"/>
        <v>0</v>
      </c>
      <c r="Q180" s="79">
        <f t="shared" si="82"/>
        <v>0</v>
      </c>
      <c r="R180" s="79">
        <f t="shared" si="82"/>
        <v>0</v>
      </c>
      <c r="S180" s="79">
        <f t="shared" si="82"/>
        <v>0</v>
      </c>
      <c r="T180" s="79">
        <f t="shared" si="83"/>
        <v>0</v>
      </c>
      <c r="U180" s="79">
        <f t="shared" si="83"/>
        <v>0</v>
      </c>
      <c r="V180" s="79">
        <f t="shared" si="84"/>
        <v>618.99</v>
      </c>
      <c r="W180" s="74"/>
      <c r="X180" s="74"/>
      <c r="Y180" s="74"/>
      <c r="Z180" s="74"/>
      <c r="AA180" s="74"/>
    </row>
    <row r="181" spans="1:27" ht="13.5">
      <c r="A181" s="173"/>
      <c r="B181" s="80" t="s">
        <v>5</v>
      </c>
      <c r="C181" s="175"/>
      <c r="D181" s="79">
        <f t="shared" si="82"/>
        <v>187.5</v>
      </c>
      <c r="E181" s="79">
        <f t="shared" si="82"/>
        <v>240</v>
      </c>
      <c r="F181" s="79">
        <f t="shared" si="82"/>
        <v>266.25</v>
      </c>
      <c r="G181" s="79">
        <f t="shared" si="82"/>
        <v>292.5</v>
      </c>
      <c r="H181" s="79">
        <f t="shared" si="82"/>
        <v>318.75000000000006</v>
      </c>
      <c r="I181" s="79">
        <f t="shared" si="82"/>
        <v>345</v>
      </c>
      <c r="J181" s="79">
        <f t="shared" si="82"/>
        <v>371.25</v>
      </c>
      <c r="K181" s="79">
        <f t="shared" si="82"/>
        <v>397.5</v>
      </c>
      <c r="L181" s="79">
        <f t="shared" si="82"/>
        <v>423.7500000000001</v>
      </c>
      <c r="M181" s="79">
        <f t="shared" si="82"/>
        <v>450.0000000000001</v>
      </c>
      <c r="N181" s="79">
        <f t="shared" si="82"/>
        <v>0</v>
      </c>
      <c r="O181" s="79">
        <f t="shared" si="82"/>
        <v>0</v>
      </c>
      <c r="P181" s="79">
        <f t="shared" si="82"/>
        <v>0</v>
      </c>
      <c r="Q181" s="79">
        <f t="shared" si="82"/>
        <v>0</v>
      </c>
      <c r="R181" s="79">
        <f t="shared" si="82"/>
        <v>0</v>
      </c>
      <c r="S181" s="79">
        <f t="shared" si="82"/>
        <v>0</v>
      </c>
      <c r="T181" s="79">
        <f t="shared" si="83"/>
        <v>0</v>
      </c>
      <c r="U181" s="79">
        <f t="shared" si="83"/>
        <v>0</v>
      </c>
      <c r="V181" s="79">
        <f t="shared" si="84"/>
        <v>3292.5</v>
      </c>
      <c r="W181" s="74"/>
      <c r="X181" s="74"/>
      <c r="Y181" s="74"/>
      <c r="Z181" s="74"/>
      <c r="AA181" s="74"/>
    </row>
    <row r="182" spans="1:27" ht="13.5">
      <c r="A182" s="173"/>
      <c r="B182" s="80" t="s">
        <v>133</v>
      </c>
      <c r="C182" s="175"/>
      <c r="D182" s="79">
        <f t="shared" si="82"/>
        <v>306.5</v>
      </c>
      <c r="E182" s="79">
        <f t="shared" si="82"/>
        <v>392.32</v>
      </c>
      <c r="F182" s="79">
        <f t="shared" si="82"/>
        <v>435.23</v>
      </c>
      <c r="G182" s="79">
        <f t="shared" si="82"/>
        <v>478.14</v>
      </c>
      <c r="H182" s="79">
        <f t="shared" si="82"/>
        <v>521.0500000000001</v>
      </c>
      <c r="I182" s="79">
        <f t="shared" si="82"/>
        <v>563.96</v>
      </c>
      <c r="J182" s="79">
        <f t="shared" si="82"/>
        <v>606.87</v>
      </c>
      <c r="K182" s="79">
        <f t="shared" si="82"/>
        <v>649.78</v>
      </c>
      <c r="L182" s="79">
        <f t="shared" si="82"/>
        <v>692.6900000000002</v>
      </c>
      <c r="M182" s="79">
        <f t="shared" si="82"/>
        <v>735.6000000000001</v>
      </c>
      <c r="N182" s="79">
        <f t="shared" si="82"/>
        <v>0</v>
      </c>
      <c r="O182" s="79">
        <f t="shared" si="82"/>
        <v>0</v>
      </c>
      <c r="P182" s="79">
        <f t="shared" si="82"/>
        <v>0</v>
      </c>
      <c r="Q182" s="79">
        <f t="shared" si="82"/>
        <v>0</v>
      </c>
      <c r="R182" s="79">
        <f t="shared" si="82"/>
        <v>0</v>
      </c>
      <c r="S182" s="79">
        <f t="shared" si="82"/>
        <v>0</v>
      </c>
      <c r="T182" s="79">
        <f t="shared" si="83"/>
        <v>0</v>
      </c>
      <c r="U182" s="79">
        <f t="shared" si="83"/>
        <v>0</v>
      </c>
      <c r="V182" s="79">
        <f t="shared" si="84"/>
        <v>5382.140000000001</v>
      </c>
      <c r="W182" s="74"/>
      <c r="X182" s="74"/>
      <c r="Y182" s="74"/>
      <c r="Z182" s="74"/>
      <c r="AA182" s="74"/>
    </row>
    <row r="183" spans="1:27" ht="13.5">
      <c r="A183" s="173"/>
      <c r="B183" s="81" t="s">
        <v>7</v>
      </c>
      <c r="C183" s="176"/>
      <c r="D183" s="82">
        <f t="shared" si="82"/>
        <v>179</v>
      </c>
      <c r="E183" s="82">
        <f t="shared" si="82"/>
        <v>428.8</v>
      </c>
      <c r="F183" s="82">
        <f t="shared" si="82"/>
        <v>475.7</v>
      </c>
      <c r="G183" s="82">
        <f t="shared" si="82"/>
        <v>522.6</v>
      </c>
      <c r="H183" s="82">
        <f t="shared" si="82"/>
        <v>569.5000000000001</v>
      </c>
      <c r="I183" s="82">
        <f t="shared" si="82"/>
        <v>329.35999999999996</v>
      </c>
      <c r="J183" s="82">
        <f t="shared" si="82"/>
        <v>663.3</v>
      </c>
      <c r="K183" s="82">
        <f t="shared" si="82"/>
        <v>710.2</v>
      </c>
      <c r="L183" s="82">
        <f t="shared" si="82"/>
        <v>757.1000000000001</v>
      </c>
      <c r="M183" s="82">
        <f t="shared" si="82"/>
        <v>804.0000000000001</v>
      </c>
      <c r="N183" s="82">
        <f t="shared" si="82"/>
        <v>0</v>
      </c>
      <c r="O183" s="82">
        <f t="shared" si="82"/>
        <v>0</v>
      </c>
      <c r="P183" s="82">
        <f t="shared" si="82"/>
        <v>0</v>
      </c>
      <c r="Q183" s="82">
        <f t="shared" si="82"/>
        <v>0</v>
      </c>
      <c r="R183" s="82">
        <f t="shared" si="82"/>
        <v>0</v>
      </c>
      <c r="S183" s="82">
        <f t="shared" si="82"/>
        <v>0</v>
      </c>
      <c r="T183" s="82">
        <f t="shared" si="83"/>
        <v>0</v>
      </c>
      <c r="U183" s="82">
        <f t="shared" si="83"/>
        <v>0</v>
      </c>
      <c r="V183" s="82">
        <f t="shared" si="84"/>
        <v>5439.56</v>
      </c>
      <c r="W183" s="74"/>
      <c r="X183" s="74"/>
      <c r="Y183" s="74"/>
      <c r="Z183" s="74"/>
      <c r="AA183" s="74"/>
    </row>
    <row r="184" spans="1:27" ht="15" customHeight="1">
      <c r="A184" s="173"/>
      <c r="B184" s="77" t="s">
        <v>139</v>
      </c>
      <c r="C184" s="174" t="s">
        <v>138</v>
      </c>
      <c r="D184" s="78">
        <f>D178+D179</f>
        <v>-2699.4392</v>
      </c>
      <c r="E184" s="78">
        <f aca="true" t="shared" si="85" ref="E184:U184">E178+E179</f>
        <v>-1396.6656</v>
      </c>
      <c r="F184" s="78">
        <f t="shared" si="85"/>
        <v>-2661.8539</v>
      </c>
      <c r="G184" s="78">
        <f t="shared" si="85"/>
        <v>-877.5702000000001</v>
      </c>
      <c r="H184" s="78">
        <f t="shared" si="85"/>
        <v>-558.5264999999999</v>
      </c>
      <c r="I184" s="78">
        <f t="shared" si="85"/>
        <v>-317.4828000000002</v>
      </c>
      <c r="J184" s="84">
        <f t="shared" si="85"/>
        <v>934.8009000000002</v>
      </c>
      <c r="K184" s="78">
        <f t="shared" si="85"/>
        <v>2202.2312666666667</v>
      </c>
      <c r="L184" s="78">
        <f t="shared" si="85"/>
        <v>4268.661633333334</v>
      </c>
      <c r="M184" s="78">
        <f t="shared" si="85"/>
        <v>7933.092000000002</v>
      </c>
      <c r="N184" s="78">
        <f t="shared" si="85"/>
        <v>14758.5557</v>
      </c>
      <c r="O184" s="78">
        <f t="shared" si="85"/>
        <v>20887.352733333333</v>
      </c>
      <c r="P184" s="78">
        <f t="shared" si="85"/>
        <v>3559.1831000000006</v>
      </c>
      <c r="Q184" s="78">
        <f t="shared" si="85"/>
        <v>31367.48013333333</v>
      </c>
      <c r="R184" s="78">
        <f t="shared" si="85"/>
        <v>39231.9105</v>
      </c>
      <c r="S184" s="78">
        <f t="shared" si="85"/>
        <v>1296.1512</v>
      </c>
      <c r="T184" s="78">
        <f t="shared" si="85"/>
        <v>54981.49106666668</v>
      </c>
      <c r="U184" s="78">
        <f t="shared" si="85"/>
        <v>57533.009600000005</v>
      </c>
      <c r="V184" s="78">
        <f t="shared" si="84"/>
        <v>230442.38163333334</v>
      </c>
      <c r="W184" s="74"/>
      <c r="X184" s="74"/>
      <c r="Y184" s="74"/>
      <c r="Z184" s="74"/>
      <c r="AA184" s="74"/>
    </row>
    <row r="185" spans="1:27" ht="13.5">
      <c r="A185" s="173"/>
      <c r="B185" s="80" t="s">
        <v>140</v>
      </c>
      <c r="C185" s="175"/>
      <c r="D185" s="79">
        <f>D184+D180</f>
        <v>-2664.1892</v>
      </c>
      <c r="E185" s="79">
        <f aca="true" t="shared" si="86" ref="E185:U188">E184+E180</f>
        <v>-1351.5456</v>
      </c>
      <c r="F185" s="79">
        <f t="shared" si="86"/>
        <v>-2611.7989000000002</v>
      </c>
      <c r="G185" s="79">
        <f t="shared" si="86"/>
        <v>-822.5802000000001</v>
      </c>
      <c r="H185" s="79">
        <f t="shared" si="86"/>
        <v>-498.60149999999993</v>
      </c>
      <c r="I185" s="79">
        <f t="shared" si="86"/>
        <v>-252.62280000000027</v>
      </c>
      <c r="J185" s="85">
        <f t="shared" si="86"/>
        <v>1004.5959000000003</v>
      </c>
      <c r="K185" s="79">
        <f t="shared" si="86"/>
        <v>2276.9612666666667</v>
      </c>
      <c r="L185" s="79">
        <f t="shared" si="86"/>
        <v>4348.326633333334</v>
      </c>
      <c r="M185" s="79">
        <f t="shared" si="86"/>
        <v>8017.692000000003</v>
      </c>
      <c r="N185" s="79">
        <f t="shared" si="86"/>
        <v>14758.5557</v>
      </c>
      <c r="O185" s="79">
        <f t="shared" si="86"/>
        <v>20887.352733333333</v>
      </c>
      <c r="P185" s="79">
        <f t="shared" si="86"/>
        <v>3559.1831000000006</v>
      </c>
      <c r="Q185" s="79">
        <f t="shared" si="86"/>
        <v>31367.48013333333</v>
      </c>
      <c r="R185" s="79">
        <f t="shared" si="86"/>
        <v>39231.9105</v>
      </c>
      <c r="S185" s="79">
        <f t="shared" si="86"/>
        <v>1296.1512</v>
      </c>
      <c r="T185" s="79">
        <f t="shared" si="86"/>
        <v>54981.49106666668</v>
      </c>
      <c r="U185" s="79">
        <f t="shared" si="86"/>
        <v>57533.009600000005</v>
      </c>
      <c r="V185" s="79">
        <f t="shared" si="84"/>
        <v>231061.37163333333</v>
      </c>
      <c r="W185" s="74"/>
      <c r="X185" s="74"/>
      <c r="Y185" s="74"/>
      <c r="Z185" s="74"/>
      <c r="AA185" s="74"/>
    </row>
    <row r="186" spans="1:27" ht="13.5">
      <c r="A186" s="173"/>
      <c r="B186" s="80" t="s">
        <v>141</v>
      </c>
      <c r="C186" s="175"/>
      <c r="D186" s="79">
        <f>D184+D181</f>
        <v>-2511.9392</v>
      </c>
      <c r="E186" s="79">
        <f aca="true" t="shared" si="87" ref="E186:M186">E184+E181</f>
        <v>-1156.6656</v>
      </c>
      <c r="F186" s="79">
        <f t="shared" si="87"/>
        <v>-2395.6039</v>
      </c>
      <c r="G186" s="79">
        <f t="shared" si="87"/>
        <v>-585.0702000000001</v>
      </c>
      <c r="H186" s="79">
        <f t="shared" si="87"/>
        <v>-239.77649999999988</v>
      </c>
      <c r="I186" s="85">
        <f t="shared" si="87"/>
        <v>27.517199999999775</v>
      </c>
      <c r="J186" s="79">
        <f t="shared" si="87"/>
        <v>1306.0509000000002</v>
      </c>
      <c r="K186" s="79">
        <f t="shared" si="87"/>
        <v>2599.7312666666667</v>
      </c>
      <c r="L186" s="79">
        <f t="shared" si="87"/>
        <v>4692.411633333334</v>
      </c>
      <c r="M186" s="79">
        <f t="shared" si="87"/>
        <v>8383.092000000002</v>
      </c>
      <c r="N186" s="79">
        <f t="shared" si="86"/>
        <v>14758.5557</v>
      </c>
      <c r="O186" s="79">
        <f t="shared" si="86"/>
        <v>20887.352733333333</v>
      </c>
      <c r="P186" s="79">
        <f t="shared" si="86"/>
        <v>3559.1831000000006</v>
      </c>
      <c r="Q186" s="79">
        <f t="shared" si="86"/>
        <v>31367.48013333333</v>
      </c>
      <c r="R186" s="79">
        <f t="shared" si="86"/>
        <v>39231.9105</v>
      </c>
      <c r="S186" s="79">
        <f t="shared" si="86"/>
        <v>1296.1512</v>
      </c>
      <c r="T186" s="79">
        <f t="shared" si="86"/>
        <v>54981.49106666668</v>
      </c>
      <c r="U186" s="79">
        <f t="shared" si="86"/>
        <v>57533.009600000005</v>
      </c>
      <c r="V186" s="79">
        <f t="shared" si="84"/>
        <v>233734.88163333334</v>
      </c>
      <c r="W186" s="74"/>
      <c r="X186" s="74"/>
      <c r="Y186" s="74"/>
      <c r="Z186" s="74"/>
      <c r="AA186" s="74"/>
    </row>
    <row r="187" spans="1:27" ht="13.5">
      <c r="A187" s="173"/>
      <c r="B187" s="80" t="s">
        <v>142</v>
      </c>
      <c r="C187" s="175"/>
      <c r="D187" s="79">
        <f>D184+D182</f>
        <v>-2392.9392</v>
      </c>
      <c r="E187" s="79">
        <f aca="true" t="shared" si="88" ref="E187:M187">E184+E182</f>
        <v>-1004.3456000000001</v>
      </c>
      <c r="F187" s="79">
        <f t="shared" si="88"/>
        <v>-2226.6239</v>
      </c>
      <c r="G187" s="79">
        <f t="shared" si="88"/>
        <v>-399.4302000000001</v>
      </c>
      <c r="H187" s="79">
        <f t="shared" si="88"/>
        <v>-37.476499999999874</v>
      </c>
      <c r="I187" s="85">
        <f t="shared" si="88"/>
        <v>246.4771999999998</v>
      </c>
      <c r="J187" s="79">
        <f t="shared" si="88"/>
        <v>1541.6709</v>
      </c>
      <c r="K187" s="79">
        <f t="shared" si="88"/>
        <v>2852.0112666666664</v>
      </c>
      <c r="L187" s="79">
        <f t="shared" si="88"/>
        <v>4961.351633333335</v>
      </c>
      <c r="M187" s="79">
        <f t="shared" si="88"/>
        <v>8668.692000000003</v>
      </c>
      <c r="N187" s="79">
        <f t="shared" si="86"/>
        <v>14758.5557</v>
      </c>
      <c r="O187" s="79">
        <f t="shared" si="86"/>
        <v>20887.352733333333</v>
      </c>
      <c r="P187" s="79">
        <f t="shared" si="86"/>
        <v>3559.1831000000006</v>
      </c>
      <c r="Q187" s="79">
        <f t="shared" si="86"/>
        <v>31367.48013333333</v>
      </c>
      <c r="R187" s="79">
        <f t="shared" si="86"/>
        <v>39231.9105</v>
      </c>
      <c r="S187" s="79">
        <f t="shared" si="86"/>
        <v>1296.1512</v>
      </c>
      <c r="T187" s="79">
        <f t="shared" si="86"/>
        <v>54981.49106666668</v>
      </c>
      <c r="U187" s="79">
        <f t="shared" si="86"/>
        <v>57533.009600000005</v>
      </c>
      <c r="V187" s="79">
        <f t="shared" si="84"/>
        <v>235824.52163333335</v>
      </c>
      <c r="W187" s="74"/>
      <c r="X187" s="74"/>
      <c r="Y187" s="74"/>
      <c r="Z187" s="74"/>
      <c r="AA187" s="74"/>
    </row>
    <row r="188" spans="1:27" ht="13.5">
      <c r="A188" s="173"/>
      <c r="B188" s="81" t="s">
        <v>143</v>
      </c>
      <c r="C188" s="176"/>
      <c r="D188" s="82">
        <f>D184+D183</f>
        <v>-2520.4392</v>
      </c>
      <c r="E188" s="82">
        <f aca="true" t="shared" si="89" ref="E188:M188">E184+E183</f>
        <v>-967.8656000000001</v>
      </c>
      <c r="F188" s="82">
        <f t="shared" si="89"/>
        <v>-2186.1539000000002</v>
      </c>
      <c r="G188" s="82">
        <f t="shared" si="89"/>
        <v>-354.9702000000001</v>
      </c>
      <c r="H188" s="86">
        <f t="shared" si="89"/>
        <v>10.973500000000172</v>
      </c>
      <c r="I188" s="82">
        <f t="shared" si="89"/>
        <v>11.877199999999732</v>
      </c>
      <c r="J188" s="82">
        <f t="shared" si="89"/>
        <v>1598.1009000000001</v>
      </c>
      <c r="K188" s="82">
        <f t="shared" si="89"/>
        <v>2912.4312666666665</v>
      </c>
      <c r="L188" s="82">
        <f t="shared" si="89"/>
        <v>5025.761633333334</v>
      </c>
      <c r="M188" s="82">
        <f t="shared" si="89"/>
        <v>8737.092000000002</v>
      </c>
      <c r="N188" s="79">
        <f t="shared" si="86"/>
        <v>14758.5557</v>
      </c>
      <c r="O188" s="79">
        <f t="shared" si="86"/>
        <v>20887.352733333333</v>
      </c>
      <c r="P188" s="79">
        <f t="shared" si="86"/>
        <v>3559.1831000000006</v>
      </c>
      <c r="Q188" s="79">
        <f t="shared" si="86"/>
        <v>31367.48013333333</v>
      </c>
      <c r="R188" s="79">
        <f t="shared" si="86"/>
        <v>39231.9105</v>
      </c>
      <c r="S188" s="79">
        <f t="shared" si="86"/>
        <v>1296.1512</v>
      </c>
      <c r="T188" s="79">
        <f t="shared" si="86"/>
        <v>54981.49106666668</v>
      </c>
      <c r="U188" s="79">
        <f t="shared" si="86"/>
        <v>57533.009600000005</v>
      </c>
      <c r="V188" s="79">
        <f t="shared" si="84"/>
        <v>235881.94163333334</v>
      </c>
      <c r="W188" s="74"/>
      <c r="X188" s="74"/>
      <c r="Y188" s="74"/>
      <c r="Z188" s="74"/>
      <c r="AA188" s="74"/>
    </row>
    <row r="189" spans="1:27" ht="15" customHeight="1">
      <c r="A189" s="173" t="s">
        <v>146</v>
      </c>
      <c r="B189" s="77" t="s">
        <v>97</v>
      </c>
      <c r="C189" s="174" t="s">
        <v>137</v>
      </c>
      <c r="D189" s="78">
        <f aca="true" t="shared" si="90" ref="D189:U189">C156-C126</f>
        <v>-2518.4392</v>
      </c>
      <c r="E189" s="78">
        <f t="shared" si="90"/>
        <v>-1527.6029999999998</v>
      </c>
      <c r="F189" s="78">
        <f t="shared" si="90"/>
        <v>-2999.2720000000004</v>
      </c>
      <c r="G189" s="78">
        <f t="shared" si="90"/>
        <v>-1682.1810000000003</v>
      </c>
      <c r="H189" s="78">
        <f t="shared" si="90"/>
        <v>-1959.0900000000001</v>
      </c>
      <c r="I189" s="78">
        <f t="shared" si="90"/>
        <v>-2220.9990000000003</v>
      </c>
      <c r="J189" s="78">
        <f t="shared" si="90"/>
        <v>-1098.908</v>
      </c>
      <c r="K189" s="84">
        <f t="shared" si="90"/>
        <v>282.8496666666665</v>
      </c>
      <c r="L189" s="78">
        <f t="shared" si="90"/>
        <v>2684.607333333333</v>
      </c>
      <c r="M189" s="78">
        <f t="shared" si="90"/>
        <v>7126.365</v>
      </c>
      <c r="N189" s="78">
        <f t="shared" si="90"/>
        <v>15617.456000000004</v>
      </c>
      <c r="O189" s="78">
        <f t="shared" si="90"/>
        <v>23336.880333333334</v>
      </c>
      <c r="P189" s="78">
        <f t="shared" si="90"/>
        <v>1195.6379999999995</v>
      </c>
      <c r="Q189" s="78">
        <f t="shared" si="90"/>
        <v>36735.062333333335</v>
      </c>
      <c r="R189" s="78">
        <f t="shared" si="90"/>
        <v>46901.82</v>
      </c>
      <c r="S189" s="78">
        <f t="shared" si="90"/>
        <v>-2225.8039999999996</v>
      </c>
      <c r="T189" s="78">
        <f t="shared" si="90"/>
        <v>67481.53866666666</v>
      </c>
      <c r="U189" s="78">
        <f t="shared" si="90"/>
        <v>70907.183</v>
      </c>
      <c r="V189" s="78">
        <f t="shared" si="84"/>
        <v>256037.1041333333</v>
      </c>
      <c r="W189" s="74"/>
      <c r="X189" s="74"/>
      <c r="Y189" s="74"/>
      <c r="Z189" s="74"/>
      <c r="AA189" s="74"/>
    </row>
    <row r="190" spans="1:27" ht="13.5">
      <c r="A190" s="173"/>
      <c r="B190" s="80" t="s">
        <v>14</v>
      </c>
      <c r="C190" s="175"/>
      <c r="D190" s="79">
        <f aca="true" t="shared" si="91" ref="D190:U190">C157-C127</f>
        <v>-181</v>
      </c>
      <c r="E190" s="79">
        <f t="shared" si="91"/>
        <v>0</v>
      </c>
      <c r="F190" s="79">
        <f t="shared" si="91"/>
        <v>0</v>
      </c>
      <c r="G190" s="79">
        <f t="shared" si="91"/>
        <v>669.6</v>
      </c>
      <c r="H190" s="79">
        <f t="shared" si="91"/>
        <v>1302</v>
      </c>
      <c r="I190" s="79">
        <f t="shared" si="91"/>
        <v>1841.4000000000005</v>
      </c>
      <c r="J190" s="79">
        <f t="shared" si="91"/>
        <v>2232.0000000000005</v>
      </c>
      <c r="K190" s="79">
        <f t="shared" si="91"/>
        <v>2418</v>
      </c>
      <c r="L190" s="79">
        <f t="shared" si="91"/>
        <v>2604</v>
      </c>
      <c r="M190" s="79">
        <f t="shared" si="91"/>
        <v>2790</v>
      </c>
      <c r="N190" s="79">
        <f t="shared" si="91"/>
        <v>2976</v>
      </c>
      <c r="O190" s="79">
        <f t="shared" si="91"/>
        <v>3162.0000000000005</v>
      </c>
      <c r="P190" s="79">
        <f t="shared" si="91"/>
        <v>3348</v>
      </c>
      <c r="Q190" s="79">
        <f t="shared" si="91"/>
        <v>3534.000000000001</v>
      </c>
      <c r="R190" s="79">
        <f t="shared" si="91"/>
        <v>3720</v>
      </c>
      <c r="S190" s="79">
        <f t="shared" si="91"/>
        <v>3906</v>
      </c>
      <c r="T190" s="79">
        <f t="shared" si="91"/>
        <v>4092.000000000001</v>
      </c>
      <c r="U190" s="79">
        <f t="shared" si="91"/>
        <v>4278</v>
      </c>
      <c r="V190" s="79">
        <f t="shared" si="84"/>
        <v>42692</v>
      </c>
      <c r="W190" s="74"/>
      <c r="X190" s="74"/>
      <c r="Y190" s="74"/>
      <c r="Z190" s="74"/>
      <c r="AA190" s="74"/>
    </row>
    <row r="191" spans="1:27" ht="13.5">
      <c r="A191" s="173"/>
      <c r="B191" s="80" t="s">
        <v>4</v>
      </c>
      <c r="C191" s="175"/>
      <c r="D191" s="79">
        <f aca="true" t="shared" si="92" ref="D191:U191">C158-C128</f>
        <v>35.25</v>
      </c>
      <c r="E191" s="79">
        <f t="shared" si="92"/>
        <v>49.349999999999966</v>
      </c>
      <c r="F191" s="79">
        <f t="shared" si="92"/>
        <v>56.39999999999998</v>
      </c>
      <c r="G191" s="79">
        <f t="shared" si="92"/>
        <v>63.44999999999999</v>
      </c>
      <c r="H191" s="79">
        <f t="shared" si="92"/>
        <v>70.5</v>
      </c>
      <c r="I191" s="79">
        <f t="shared" si="92"/>
        <v>77.55000000000001</v>
      </c>
      <c r="J191" s="79">
        <f t="shared" si="92"/>
        <v>84.60000000000002</v>
      </c>
      <c r="K191" s="79">
        <f t="shared" si="92"/>
        <v>91.64999999999998</v>
      </c>
      <c r="L191" s="79">
        <f t="shared" si="92"/>
        <v>98.69999999999993</v>
      </c>
      <c r="M191" s="79">
        <f t="shared" si="92"/>
        <v>105.75</v>
      </c>
      <c r="N191" s="79">
        <f t="shared" si="92"/>
        <v>0</v>
      </c>
      <c r="O191" s="79">
        <f t="shared" si="92"/>
        <v>0</v>
      </c>
      <c r="P191" s="79">
        <f t="shared" si="92"/>
        <v>0</v>
      </c>
      <c r="Q191" s="79">
        <f t="shared" si="92"/>
        <v>0</v>
      </c>
      <c r="R191" s="79">
        <f t="shared" si="92"/>
        <v>0</v>
      </c>
      <c r="S191" s="79">
        <f t="shared" si="92"/>
        <v>0</v>
      </c>
      <c r="T191" s="79">
        <f t="shared" si="92"/>
        <v>0</v>
      </c>
      <c r="U191" s="79">
        <f t="shared" si="92"/>
        <v>0</v>
      </c>
      <c r="V191" s="79">
        <f t="shared" si="84"/>
        <v>733.1999999999999</v>
      </c>
      <c r="W191" s="74"/>
      <c r="X191" s="74"/>
      <c r="Y191" s="74"/>
      <c r="Z191" s="74"/>
      <c r="AA191" s="74"/>
    </row>
    <row r="192" spans="1:27" ht="13.5">
      <c r="A192" s="173"/>
      <c r="B192" s="80" t="s">
        <v>5</v>
      </c>
      <c r="C192" s="175"/>
      <c r="D192" s="79">
        <f aca="true" t="shared" si="93" ref="D192:U192">C159-C129</f>
        <v>187.5</v>
      </c>
      <c r="E192" s="79">
        <f t="shared" si="93"/>
        <v>262.5</v>
      </c>
      <c r="F192" s="79">
        <f t="shared" si="93"/>
        <v>300</v>
      </c>
      <c r="G192" s="79">
        <f t="shared" si="93"/>
        <v>337.5</v>
      </c>
      <c r="H192" s="79">
        <f t="shared" si="93"/>
        <v>375</v>
      </c>
      <c r="I192" s="79">
        <f t="shared" si="93"/>
        <v>412.5</v>
      </c>
      <c r="J192" s="79">
        <f t="shared" si="93"/>
        <v>450.0000000000001</v>
      </c>
      <c r="K192" s="79">
        <f t="shared" si="93"/>
        <v>487.5</v>
      </c>
      <c r="L192" s="79">
        <f t="shared" si="93"/>
        <v>525</v>
      </c>
      <c r="M192" s="79">
        <f t="shared" si="93"/>
        <v>562.5</v>
      </c>
      <c r="N192" s="79">
        <f t="shared" si="93"/>
        <v>0</v>
      </c>
      <c r="O192" s="79">
        <f t="shared" si="93"/>
        <v>0</v>
      </c>
      <c r="P192" s="79">
        <f t="shared" si="93"/>
        <v>0</v>
      </c>
      <c r="Q192" s="79">
        <f t="shared" si="93"/>
        <v>0</v>
      </c>
      <c r="R192" s="79">
        <f t="shared" si="93"/>
        <v>0</v>
      </c>
      <c r="S192" s="79">
        <f t="shared" si="93"/>
        <v>0</v>
      </c>
      <c r="T192" s="79">
        <f t="shared" si="93"/>
        <v>0</v>
      </c>
      <c r="U192" s="79">
        <f t="shared" si="93"/>
        <v>0</v>
      </c>
      <c r="V192" s="79">
        <f t="shared" si="84"/>
        <v>3900</v>
      </c>
      <c r="W192" s="74"/>
      <c r="X192" s="74"/>
      <c r="Y192" s="74"/>
      <c r="Z192" s="74"/>
      <c r="AA192" s="74"/>
    </row>
    <row r="193" spans="1:27" ht="13.5">
      <c r="A193" s="173"/>
      <c r="B193" s="80" t="s">
        <v>133</v>
      </c>
      <c r="C193" s="175"/>
      <c r="D193" s="79">
        <f aca="true" t="shared" si="94" ref="D193:U193">C160-C130</f>
        <v>306.5</v>
      </c>
      <c r="E193" s="79">
        <f t="shared" si="94"/>
        <v>429.1</v>
      </c>
      <c r="F193" s="79">
        <f t="shared" si="94"/>
        <v>490.4</v>
      </c>
      <c r="G193" s="79">
        <f t="shared" si="94"/>
        <v>551.7</v>
      </c>
      <c r="H193" s="79">
        <f t="shared" si="94"/>
        <v>613</v>
      </c>
      <c r="I193" s="79">
        <f t="shared" si="94"/>
        <v>674.3</v>
      </c>
      <c r="J193" s="79">
        <f t="shared" si="94"/>
        <v>735.6000000000001</v>
      </c>
      <c r="K193" s="79">
        <f t="shared" si="94"/>
        <v>796.9</v>
      </c>
      <c r="L193" s="79">
        <f t="shared" si="94"/>
        <v>858.2</v>
      </c>
      <c r="M193" s="79">
        <f t="shared" si="94"/>
        <v>919.5</v>
      </c>
      <c r="N193" s="79">
        <f t="shared" si="94"/>
        <v>0</v>
      </c>
      <c r="O193" s="79">
        <f t="shared" si="94"/>
        <v>0</v>
      </c>
      <c r="P193" s="79">
        <f t="shared" si="94"/>
        <v>0</v>
      </c>
      <c r="Q193" s="79">
        <f t="shared" si="94"/>
        <v>0</v>
      </c>
      <c r="R193" s="79">
        <f t="shared" si="94"/>
        <v>0</v>
      </c>
      <c r="S193" s="79">
        <f t="shared" si="94"/>
        <v>0</v>
      </c>
      <c r="T193" s="79">
        <f t="shared" si="94"/>
        <v>0</v>
      </c>
      <c r="U193" s="79">
        <f t="shared" si="94"/>
        <v>0</v>
      </c>
      <c r="V193" s="79">
        <f t="shared" si="84"/>
        <v>6375.2</v>
      </c>
      <c r="W193" s="74"/>
      <c r="X193" s="74"/>
      <c r="Y193" s="74"/>
      <c r="Z193" s="74"/>
      <c r="AA193" s="74"/>
    </row>
    <row r="194" spans="1:27" ht="13.5">
      <c r="A194" s="173"/>
      <c r="B194" s="81" t="s">
        <v>7</v>
      </c>
      <c r="C194" s="176"/>
      <c r="D194" s="82">
        <f aca="true" t="shared" si="95" ref="D194:U194">C161-C131</f>
        <v>179</v>
      </c>
      <c r="E194" s="82">
        <f t="shared" si="95"/>
        <v>469</v>
      </c>
      <c r="F194" s="82">
        <f t="shared" si="95"/>
        <v>536</v>
      </c>
      <c r="G194" s="82">
        <f t="shared" si="95"/>
        <v>603</v>
      </c>
      <c r="H194" s="82">
        <f t="shared" si="95"/>
        <v>670</v>
      </c>
      <c r="I194" s="82">
        <f t="shared" si="95"/>
        <v>393.80000000000007</v>
      </c>
      <c r="J194" s="82">
        <f t="shared" si="95"/>
        <v>804.0000000000001</v>
      </c>
      <c r="K194" s="82">
        <f t="shared" si="95"/>
        <v>871</v>
      </c>
      <c r="L194" s="82">
        <f t="shared" si="95"/>
        <v>938</v>
      </c>
      <c r="M194" s="82">
        <f t="shared" si="95"/>
        <v>1005</v>
      </c>
      <c r="N194" s="79">
        <f t="shared" si="95"/>
        <v>0</v>
      </c>
      <c r="O194" s="79">
        <f t="shared" si="95"/>
        <v>0</v>
      </c>
      <c r="P194" s="79">
        <f t="shared" si="95"/>
        <v>0</v>
      </c>
      <c r="Q194" s="79">
        <f t="shared" si="95"/>
        <v>0</v>
      </c>
      <c r="R194" s="79">
        <f t="shared" si="95"/>
        <v>0</v>
      </c>
      <c r="S194" s="79">
        <f t="shared" si="95"/>
        <v>0</v>
      </c>
      <c r="T194" s="79">
        <f t="shared" si="95"/>
        <v>0</v>
      </c>
      <c r="U194" s="79">
        <f t="shared" si="95"/>
        <v>0</v>
      </c>
      <c r="V194" s="79">
        <f t="shared" si="84"/>
        <v>6468.8</v>
      </c>
      <c r="W194" s="74"/>
      <c r="X194" s="74"/>
      <c r="Y194" s="74"/>
      <c r="Z194" s="74"/>
      <c r="AA194" s="74"/>
    </row>
    <row r="195" spans="1:27" ht="15" customHeight="1">
      <c r="A195" s="173"/>
      <c r="B195" s="77" t="s">
        <v>139</v>
      </c>
      <c r="C195" s="174" t="s">
        <v>138</v>
      </c>
      <c r="D195" s="78">
        <f>D189+D190</f>
        <v>-2699.4392</v>
      </c>
      <c r="E195" s="78">
        <f aca="true" t="shared" si="96" ref="E195:U195">E189+E190</f>
        <v>-1527.6029999999998</v>
      </c>
      <c r="F195" s="78">
        <f t="shared" si="96"/>
        <v>-2999.2720000000004</v>
      </c>
      <c r="G195" s="78">
        <f t="shared" si="96"/>
        <v>-1012.5810000000002</v>
      </c>
      <c r="H195" s="78">
        <f t="shared" si="96"/>
        <v>-657.0900000000001</v>
      </c>
      <c r="I195" s="78">
        <f t="shared" si="96"/>
        <v>-379.5989999999997</v>
      </c>
      <c r="J195" s="84">
        <f t="shared" si="96"/>
        <v>1133.0920000000006</v>
      </c>
      <c r="K195" s="78">
        <f t="shared" si="96"/>
        <v>2700.8496666666665</v>
      </c>
      <c r="L195" s="78">
        <f t="shared" si="96"/>
        <v>5288.607333333333</v>
      </c>
      <c r="M195" s="78">
        <f t="shared" si="96"/>
        <v>9916.365</v>
      </c>
      <c r="N195" s="78">
        <f t="shared" si="96"/>
        <v>18593.456000000006</v>
      </c>
      <c r="O195" s="78">
        <f t="shared" si="96"/>
        <v>26498.880333333334</v>
      </c>
      <c r="P195" s="78">
        <f t="shared" si="96"/>
        <v>4543.637999999999</v>
      </c>
      <c r="Q195" s="78">
        <f t="shared" si="96"/>
        <v>40269.062333333335</v>
      </c>
      <c r="R195" s="78">
        <f t="shared" si="96"/>
        <v>50621.82</v>
      </c>
      <c r="S195" s="78">
        <f t="shared" si="96"/>
        <v>1680.1960000000004</v>
      </c>
      <c r="T195" s="78">
        <f t="shared" si="96"/>
        <v>71573.53866666666</v>
      </c>
      <c r="U195" s="78">
        <f t="shared" si="96"/>
        <v>75185.183</v>
      </c>
      <c r="V195" s="78">
        <f t="shared" si="84"/>
        <v>298729.1041333333</v>
      </c>
      <c r="W195" s="74"/>
      <c r="X195" s="74"/>
      <c r="Y195" s="74"/>
      <c r="Z195" s="74"/>
      <c r="AA195" s="74"/>
    </row>
    <row r="196" spans="1:27" ht="13.5">
      <c r="A196" s="173"/>
      <c r="B196" s="80" t="s">
        <v>140</v>
      </c>
      <c r="C196" s="175"/>
      <c r="D196" s="79">
        <f>D195+D191</f>
        <v>-2664.1892</v>
      </c>
      <c r="E196" s="79">
        <f aca="true" t="shared" si="97" ref="E196:U199">E195+E191</f>
        <v>-1478.253</v>
      </c>
      <c r="F196" s="79">
        <f t="shared" si="97"/>
        <v>-2942.8720000000003</v>
      </c>
      <c r="G196" s="79">
        <f t="shared" si="97"/>
        <v>-949.1310000000003</v>
      </c>
      <c r="H196" s="79">
        <f t="shared" si="97"/>
        <v>-586.5900000000001</v>
      </c>
      <c r="I196" s="79">
        <f t="shared" si="97"/>
        <v>-302.0489999999997</v>
      </c>
      <c r="J196" s="85">
        <f t="shared" si="97"/>
        <v>1217.6920000000005</v>
      </c>
      <c r="K196" s="79">
        <f t="shared" si="97"/>
        <v>2792.4996666666666</v>
      </c>
      <c r="L196" s="79">
        <f t="shared" si="97"/>
        <v>5387.307333333333</v>
      </c>
      <c r="M196" s="79">
        <f t="shared" si="97"/>
        <v>10022.115</v>
      </c>
      <c r="N196" s="79">
        <f t="shared" si="97"/>
        <v>18593.456000000006</v>
      </c>
      <c r="O196" s="79">
        <f t="shared" si="97"/>
        <v>26498.880333333334</v>
      </c>
      <c r="P196" s="79">
        <f t="shared" si="97"/>
        <v>4543.637999999999</v>
      </c>
      <c r="Q196" s="79">
        <f t="shared" si="97"/>
        <v>40269.062333333335</v>
      </c>
      <c r="R196" s="79">
        <f t="shared" si="97"/>
        <v>50621.82</v>
      </c>
      <c r="S196" s="79">
        <f t="shared" si="97"/>
        <v>1680.1960000000004</v>
      </c>
      <c r="T196" s="79">
        <f t="shared" si="97"/>
        <v>71573.53866666666</v>
      </c>
      <c r="U196" s="79">
        <f t="shared" si="97"/>
        <v>75185.183</v>
      </c>
      <c r="V196" s="79">
        <f t="shared" si="84"/>
        <v>299462.3041333333</v>
      </c>
      <c r="W196" s="74"/>
      <c r="X196" s="74"/>
      <c r="Y196" s="74"/>
      <c r="Z196" s="74"/>
      <c r="AA196" s="74"/>
    </row>
    <row r="197" spans="1:27" ht="13.5">
      <c r="A197" s="173"/>
      <c r="B197" s="80" t="s">
        <v>141</v>
      </c>
      <c r="C197" s="175"/>
      <c r="D197" s="79">
        <f>D195+D192</f>
        <v>-2511.9392</v>
      </c>
      <c r="E197" s="79">
        <f aca="true" t="shared" si="98" ref="E197:M197">E195+E192</f>
        <v>-1265.1029999999998</v>
      </c>
      <c r="F197" s="79">
        <f t="shared" si="98"/>
        <v>-2699.2720000000004</v>
      </c>
      <c r="G197" s="79">
        <f t="shared" si="98"/>
        <v>-675.0810000000002</v>
      </c>
      <c r="H197" s="79">
        <f t="shared" si="98"/>
        <v>-282.09000000000015</v>
      </c>
      <c r="I197" s="85">
        <f t="shared" si="98"/>
        <v>32.901000000000295</v>
      </c>
      <c r="J197" s="79">
        <f t="shared" si="98"/>
        <v>1583.0920000000006</v>
      </c>
      <c r="K197" s="79">
        <f t="shared" si="98"/>
        <v>3188.3496666666665</v>
      </c>
      <c r="L197" s="79">
        <f t="shared" si="98"/>
        <v>5813.607333333333</v>
      </c>
      <c r="M197" s="79">
        <f t="shared" si="98"/>
        <v>10478.865</v>
      </c>
      <c r="N197" s="79">
        <f t="shared" si="97"/>
        <v>18593.456000000006</v>
      </c>
      <c r="O197" s="79">
        <f t="shared" si="97"/>
        <v>26498.880333333334</v>
      </c>
      <c r="P197" s="79">
        <f t="shared" si="97"/>
        <v>4543.637999999999</v>
      </c>
      <c r="Q197" s="79">
        <f t="shared" si="97"/>
        <v>40269.062333333335</v>
      </c>
      <c r="R197" s="79">
        <f t="shared" si="97"/>
        <v>50621.82</v>
      </c>
      <c r="S197" s="79">
        <f t="shared" si="97"/>
        <v>1680.1960000000004</v>
      </c>
      <c r="T197" s="79">
        <f t="shared" si="97"/>
        <v>71573.53866666666</v>
      </c>
      <c r="U197" s="79">
        <f t="shared" si="97"/>
        <v>75185.183</v>
      </c>
      <c r="V197" s="79">
        <f t="shared" si="84"/>
        <v>302629.1041333333</v>
      </c>
      <c r="W197" s="74"/>
      <c r="X197" s="74"/>
      <c r="Y197" s="74"/>
      <c r="Z197" s="74"/>
      <c r="AA197" s="74"/>
    </row>
    <row r="198" spans="1:22" ht="13.5">
      <c r="A198" s="173"/>
      <c r="B198" s="80" t="s">
        <v>142</v>
      </c>
      <c r="C198" s="175"/>
      <c r="D198" s="79">
        <f>D195+D193</f>
        <v>-2392.9392</v>
      </c>
      <c r="E198" s="79">
        <f aca="true" t="shared" si="99" ref="E198:M198">E195+E193</f>
        <v>-1098.5029999999997</v>
      </c>
      <c r="F198" s="79">
        <f t="shared" si="99"/>
        <v>-2508.8720000000003</v>
      </c>
      <c r="G198" s="79">
        <f t="shared" si="99"/>
        <v>-460.8810000000002</v>
      </c>
      <c r="H198" s="79">
        <f t="shared" si="99"/>
        <v>-44.090000000000146</v>
      </c>
      <c r="I198" s="85">
        <f t="shared" si="99"/>
        <v>294.70100000000025</v>
      </c>
      <c r="J198" s="79">
        <f t="shared" si="99"/>
        <v>1868.6920000000007</v>
      </c>
      <c r="K198" s="79">
        <f t="shared" si="99"/>
        <v>3497.7496666666666</v>
      </c>
      <c r="L198" s="79">
        <f t="shared" si="99"/>
        <v>6146.807333333333</v>
      </c>
      <c r="M198" s="79">
        <f t="shared" si="99"/>
        <v>10835.865</v>
      </c>
      <c r="N198" s="79">
        <f t="shared" si="97"/>
        <v>18593.456000000006</v>
      </c>
      <c r="O198" s="79">
        <f t="shared" si="97"/>
        <v>26498.880333333334</v>
      </c>
      <c r="P198" s="79">
        <f t="shared" si="97"/>
        <v>4543.637999999999</v>
      </c>
      <c r="Q198" s="79">
        <f t="shared" si="97"/>
        <v>40269.062333333335</v>
      </c>
      <c r="R198" s="79">
        <f t="shared" si="97"/>
        <v>50621.82</v>
      </c>
      <c r="S198" s="79">
        <f t="shared" si="97"/>
        <v>1680.1960000000004</v>
      </c>
      <c r="T198" s="79">
        <f t="shared" si="97"/>
        <v>71573.53866666666</v>
      </c>
      <c r="U198" s="79">
        <f t="shared" si="97"/>
        <v>75185.183</v>
      </c>
      <c r="V198" s="79">
        <f t="shared" si="84"/>
        <v>305104.3041333333</v>
      </c>
    </row>
    <row r="199" spans="1:22" ht="13.5">
      <c r="A199" s="173"/>
      <c r="B199" s="81" t="s">
        <v>143</v>
      </c>
      <c r="C199" s="176"/>
      <c r="D199" s="82">
        <f>D195+D194</f>
        <v>-2520.4392</v>
      </c>
      <c r="E199" s="82">
        <f aca="true" t="shared" si="100" ref="E199:M199">E195+E194</f>
        <v>-1058.6029999999998</v>
      </c>
      <c r="F199" s="82">
        <f t="shared" si="100"/>
        <v>-2463.2720000000004</v>
      </c>
      <c r="G199" s="82">
        <f t="shared" si="100"/>
        <v>-409.58100000000024</v>
      </c>
      <c r="H199" s="86">
        <f t="shared" si="100"/>
        <v>12.909999999999854</v>
      </c>
      <c r="I199" s="82">
        <f t="shared" si="100"/>
        <v>14.201000000000363</v>
      </c>
      <c r="J199" s="82">
        <f t="shared" si="100"/>
        <v>1937.0920000000006</v>
      </c>
      <c r="K199" s="82">
        <f t="shared" si="100"/>
        <v>3571.8496666666665</v>
      </c>
      <c r="L199" s="82">
        <f t="shared" si="100"/>
        <v>6226.607333333333</v>
      </c>
      <c r="M199" s="82">
        <f t="shared" si="100"/>
        <v>10921.365</v>
      </c>
      <c r="N199" s="82">
        <f t="shared" si="97"/>
        <v>18593.456000000006</v>
      </c>
      <c r="O199" s="82">
        <f t="shared" si="97"/>
        <v>26498.880333333334</v>
      </c>
      <c r="P199" s="82">
        <f t="shared" si="97"/>
        <v>4543.637999999999</v>
      </c>
      <c r="Q199" s="82">
        <f t="shared" si="97"/>
        <v>40269.062333333335</v>
      </c>
      <c r="R199" s="82">
        <f t="shared" si="97"/>
        <v>50621.82</v>
      </c>
      <c r="S199" s="82">
        <f t="shared" si="97"/>
        <v>1680.1960000000004</v>
      </c>
      <c r="T199" s="82">
        <f t="shared" si="97"/>
        <v>71573.53866666666</v>
      </c>
      <c r="U199" s="82">
        <f t="shared" si="97"/>
        <v>75185.183</v>
      </c>
      <c r="V199" s="82">
        <f t="shared" si="84"/>
        <v>305197.90413333336</v>
      </c>
    </row>
    <row r="200" spans="1:20" ht="13.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ht="13.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</row>
    <row r="202" spans="1:20" s="177" customFormat="1" ht="13.5">
      <c r="A202" s="179"/>
      <c r="B202" s="179" t="s">
        <v>150</v>
      </c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</row>
    <row r="203" spans="1:20" ht="13.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</row>
    <row r="204" spans="1:22" ht="15" customHeight="1">
      <c r="A204" s="96"/>
      <c r="B204" s="95" t="s">
        <v>145</v>
      </c>
      <c r="C204" s="95" t="s">
        <v>3</v>
      </c>
      <c r="D204" s="103">
        <v>1</v>
      </c>
      <c r="E204" s="103">
        <v>2</v>
      </c>
      <c r="F204" s="103">
        <v>3</v>
      </c>
      <c r="G204" s="103">
        <v>4</v>
      </c>
      <c r="H204" s="103">
        <v>5</v>
      </c>
      <c r="I204" s="103">
        <v>6</v>
      </c>
      <c r="J204" s="103">
        <v>7</v>
      </c>
      <c r="K204" s="103">
        <v>8</v>
      </c>
      <c r="L204" s="103">
        <v>9</v>
      </c>
      <c r="M204" s="103">
        <v>10</v>
      </c>
      <c r="N204" s="103">
        <v>11</v>
      </c>
      <c r="O204" s="103">
        <v>12</v>
      </c>
      <c r="P204" s="103">
        <v>13</v>
      </c>
      <c r="Q204" s="103">
        <v>14</v>
      </c>
      <c r="R204" s="103">
        <v>15</v>
      </c>
      <c r="S204" s="103">
        <v>16</v>
      </c>
      <c r="T204" s="103">
        <v>17</v>
      </c>
      <c r="U204" s="103">
        <v>18</v>
      </c>
      <c r="V204" s="96" t="s">
        <v>152</v>
      </c>
    </row>
    <row r="205" spans="1:23" ht="15" customHeight="1">
      <c r="A205" s="169" t="s">
        <v>156</v>
      </c>
      <c r="B205" s="99" t="s">
        <v>97</v>
      </c>
      <c r="C205" s="170" t="s">
        <v>137</v>
      </c>
      <c r="D205" s="100">
        <f aca="true" t="shared" si="101" ref="D205:V205">D167/C110*100</f>
        <v>-100</v>
      </c>
      <c r="E205" s="100">
        <f t="shared" si="101"/>
        <v>-100</v>
      </c>
      <c r="F205" s="100">
        <f t="shared" si="101"/>
        <v>-100</v>
      </c>
      <c r="G205" s="100">
        <f t="shared" si="101"/>
        <v>-100</v>
      </c>
      <c r="H205" s="100">
        <f t="shared" si="101"/>
        <v>-100</v>
      </c>
      <c r="I205" s="100">
        <f t="shared" si="101"/>
        <v>-100</v>
      </c>
      <c r="J205" s="100">
        <f t="shared" si="101"/>
        <v>-44.69089530799851</v>
      </c>
      <c r="K205" s="100">
        <f t="shared" si="101"/>
        <v>10.618209384002988</v>
      </c>
      <c r="L205" s="100">
        <f t="shared" si="101"/>
        <v>93.58186642200518</v>
      </c>
      <c r="M205" s="100">
        <f t="shared" si="101"/>
        <v>231.8546281520089</v>
      </c>
      <c r="N205" s="100">
        <f t="shared" si="101"/>
        <v>456.3113286490986</v>
      </c>
      <c r="O205" s="100">
        <f t="shared" si="101"/>
        <v>641.7484381987979</v>
      </c>
      <c r="P205" s="100">
        <f t="shared" si="101"/>
        <v>30.623133818022012</v>
      </c>
      <c r="Q205" s="100">
        <f t="shared" si="101"/>
        <v>879.1929085818829</v>
      </c>
      <c r="R205" s="100">
        <f t="shared" si="101"/>
        <v>1144.4548555700333</v>
      </c>
      <c r="S205" s="100">
        <f t="shared" si="101"/>
        <v>-48.326068586505194</v>
      </c>
      <c r="T205" s="100">
        <f t="shared" si="101"/>
        <v>1398.544010991349</v>
      </c>
      <c r="U205" s="100">
        <f t="shared" si="101"/>
        <v>972.2879787056222</v>
      </c>
      <c r="V205" s="100">
        <f t="shared" si="101"/>
        <v>378.8717554731232</v>
      </c>
      <c r="W205" s="13">
        <f>SUM(K205:U205)</f>
        <v>5810.891289886318</v>
      </c>
    </row>
    <row r="206" spans="1:22" ht="13.5">
      <c r="A206" s="169"/>
      <c r="B206" s="99" t="s">
        <v>14</v>
      </c>
      <c r="C206" s="171"/>
      <c r="D206" s="100">
        <f aca="true" t="shared" si="102" ref="D206:V206">D168/C111*100</f>
        <v>-100</v>
      </c>
      <c r="E206" s="100">
        <v>0</v>
      </c>
      <c r="F206" s="100">
        <v>0</v>
      </c>
      <c r="G206" s="100">
        <f t="shared" si="102"/>
        <v>620</v>
      </c>
      <c r="H206" s="100">
        <f t="shared" si="102"/>
        <v>620</v>
      </c>
      <c r="I206" s="100">
        <f t="shared" si="102"/>
        <v>620</v>
      </c>
      <c r="J206" s="100">
        <f t="shared" si="102"/>
        <v>620.0000000000001</v>
      </c>
      <c r="K206" s="100">
        <f t="shared" si="102"/>
        <v>619.9999999999999</v>
      </c>
      <c r="L206" s="100">
        <f t="shared" si="102"/>
        <v>620</v>
      </c>
      <c r="M206" s="100">
        <f t="shared" si="102"/>
        <v>620</v>
      </c>
      <c r="N206" s="100">
        <f t="shared" si="102"/>
        <v>619.9999999999999</v>
      </c>
      <c r="O206" s="100">
        <f t="shared" si="102"/>
        <v>620</v>
      </c>
      <c r="P206" s="100">
        <f t="shared" si="102"/>
        <v>619.9999999999999</v>
      </c>
      <c r="Q206" s="100">
        <f t="shared" si="102"/>
        <v>620</v>
      </c>
      <c r="R206" s="100">
        <f t="shared" si="102"/>
        <v>619.9999999999999</v>
      </c>
      <c r="S206" s="100">
        <f t="shared" si="102"/>
        <v>619.9999999999999</v>
      </c>
      <c r="T206" s="100">
        <f t="shared" si="102"/>
        <v>619.9999999999999</v>
      </c>
      <c r="U206" s="100">
        <f t="shared" si="102"/>
        <v>620</v>
      </c>
      <c r="V206" s="100">
        <f t="shared" si="102"/>
        <v>590.699792029678</v>
      </c>
    </row>
    <row r="207" spans="1:22" ht="13.5">
      <c r="A207" s="169"/>
      <c r="B207" s="99" t="s">
        <v>4</v>
      </c>
      <c r="C207" s="171"/>
      <c r="D207" s="100">
        <f aca="true" t="shared" si="103" ref="D207:M207">D169/C112*100</f>
        <v>20.171673819742487</v>
      </c>
      <c r="E207" s="100">
        <f t="shared" si="103"/>
        <v>20.1716738197425</v>
      </c>
      <c r="F207" s="100">
        <f t="shared" si="103"/>
        <v>20.17167381974248</v>
      </c>
      <c r="G207" s="100">
        <f t="shared" si="103"/>
        <v>20.17167381974249</v>
      </c>
      <c r="H207" s="100">
        <f t="shared" si="103"/>
        <v>20.171673819742495</v>
      </c>
      <c r="I207" s="100">
        <f t="shared" si="103"/>
        <v>20.171673819742477</v>
      </c>
      <c r="J207" s="100">
        <f t="shared" si="103"/>
        <v>20.171673819742505</v>
      </c>
      <c r="K207" s="100">
        <f t="shared" si="103"/>
        <v>20.171673819742487</v>
      </c>
      <c r="L207" s="100">
        <f t="shared" si="103"/>
        <v>20.17167381974249</v>
      </c>
      <c r="M207" s="100">
        <f t="shared" si="103"/>
        <v>20.171673819742498</v>
      </c>
      <c r="N207" s="100"/>
      <c r="O207" s="100"/>
      <c r="P207" s="100"/>
      <c r="Q207" s="100"/>
      <c r="R207" s="100"/>
      <c r="S207" s="100"/>
      <c r="T207" s="100"/>
      <c r="U207" s="100"/>
      <c r="V207" s="100">
        <f>V169/U112*100</f>
        <v>20.17167381974249</v>
      </c>
    </row>
    <row r="208" spans="1:22" ht="13.5">
      <c r="A208" s="169"/>
      <c r="B208" s="99" t="s">
        <v>5</v>
      </c>
      <c r="C208" s="171"/>
      <c r="D208" s="100">
        <f aca="true" t="shared" si="104" ref="D208:M208">D170/C113*100</f>
        <v>71.42857142857143</v>
      </c>
      <c r="E208" s="100">
        <f t="shared" si="104"/>
        <v>71.42857142857143</v>
      </c>
      <c r="F208" s="100">
        <f t="shared" si="104"/>
        <v>71.42857142857143</v>
      </c>
      <c r="G208" s="100">
        <f t="shared" si="104"/>
        <v>71.42857142857142</v>
      </c>
      <c r="H208" s="100">
        <f t="shared" si="104"/>
        <v>71.42857142857143</v>
      </c>
      <c r="I208" s="100">
        <f t="shared" si="104"/>
        <v>71.42857142857143</v>
      </c>
      <c r="J208" s="100">
        <f t="shared" si="104"/>
        <v>71.42857142857143</v>
      </c>
      <c r="K208" s="100">
        <f t="shared" si="104"/>
        <v>71.42857142857143</v>
      </c>
      <c r="L208" s="100">
        <f t="shared" si="104"/>
        <v>71.42857142857143</v>
      </c>
      <c r="M208" s="100">
        <f t="shared" si="104"/>
        <v>71.42857142857143</v>
      </c>
      <c r="N208" s="100"/>
      <c r="O208" s="100"/>
      <c r="P208" s="100"/>
      <c r="Q208" s="100"/>
      <c r="R208" s="100"/>
      <c r="S208" s="100"/>
      <c r="T208" s="100"/>
      <c r="U208" s="100"/>
      <c r="V208" s="100">
        <f>V170/U113*100</f>
        <v>71.42857142857143</v>
      </c>
    </row>
    <row r="209" spans="1:22" ht="13.5">
      <c r="A209" s="169"/>
      <c r="B209" s="99" t="s">
        <v>133</v>
      </c>
      <c r="C209" s="171"/>
      <c r="D209" s="100">
        <f aca="true" t="shared" si="105" ref="D209:M209">D171/C114*100</f>
        <v>119.7265625</v>
      </c>
      <c r="E209" s="100">
        <f t="shared" si="105"/>
        <v>119.72656250000003</v>
      </c>
      <c r="F209" s="100">
        <f t="shared" si="105"/>
        <v>119.7265625</v>
      </c>
      <c r="G209" s="100">
        <f t="shared" si="105"/>
        <v>119.72656249999997</v>
      </c>
      <c r="H209" s="100">
        <f t="shared" si="105"/>
        <v>119.7265625</v>
      </c>
      <c r="I209" s="100">
        <f t="shared" si="105"/>
        <v>119.7265625</v>
      </c>
      <c r="J209" s="100">
        <f t="shared" si="105"/>
        <v>119.72656250000003</v>
      </c>
      <c r="K209" s="100">
        <f t="shared" si="105"/>
        <v>119.72656250000003</v>
      </c>
      <c r="L209" s="100">
        <f t="shared" si="105"/>
        <v>119.7265625</v>
      </c>
      <c r="M209" s="100">
        <f t="shared" si="105"/>
        <v>119.7265625</v>
      </c>
      <c r="N209" s="100"/>
      <c r="O209" s="100"/>
      <c r="P209" s="100"/>
      <c r="Q209" s="100"/>
      <c r="R209" s="100"/>
      <c r="S209" s="100"/>
      <c r="T209" s="100"/>
      <c r="U209" s="100"/>
      <c r="V209" s="100">
        <f>V171/U114*100</f>
        <v>119.7265625</v>
      </c>
    </row>
    <row r="210" spans="1:22" ht="13.5">
      <c r="A210" s="169"/>
      <c r="B210" s="101" t="s">
        <v>7</v>
      </c>
      <c r="C210" s="172"/>
      <c r="D210" s="102">
        <f aca="true" t="shared" si="106" ref="D210:M210">D172/C115*100</f>
        <v>91.3265306122449</v>
      </c>
      <c r="E210" s="102">
        <f t="shared" si="106"/>
        <v>837.5000000000002</v>
      </c>
      <c r="F210" s="102">
        <f t="shared" si="106"/>
        <v>837.5</v>
      </c>
      <c r="G210" s="102">
        <f t="shared" si="106"/>
        <v>837.5000000000002</v>
      </c>
      <c r="H210" s="102">
        <f t="shared" si="106"/>
        <v>837.5</v>
      </c>
      <c r="I210" s="102">
        <f t="shared" si="106"/>
        <v>91.32653061224488</v>
      </c>
      <c r="J210" s="102">
        <f t="shared" si="106"/>
        <v>837.5</v>
      </c>
      <c r="K210" s="102">
        <f t="shared" si="106"/>
        <v>837.5000000000002</v>
      </c>
      <c r="L210" s="102">
        <f t="shared" si="106"/>
        <v>837.5</v>
      </c>
      <c r="M210" s="102">
        <f t="shared" si="106"/>
        <v>837.5</v>
      </c>
      <c r="N210" s="102"/>
      <c r="O210" s="102"/>
      <c r="P210" s="102"/>
      <c r="Q210" s="102"/>
      <c r="R210" s="102"/>
      <c r="S210" s="102"/>
      <c r="T210" s="102"/>
      <c r="U210" s="102"/>
      <c r="V210" s="102">
        <f>V172/U115*100</f>
        <v>462.5151417265605</v>
      </c>
    </row>
    <row r="211" spans="1:22" ht="15" customHeight="1">
      <c r="A211" s="169"/>
      <c r="B211" s="97" t="s">
        <v>139</v>
      </c>
      <c r="C211" s="170" t="s">
        <v>138</v>
      </c>
      <c r="D211" s="98">
        <f aca="true" t="shared" si="107" ref="D211:V211">D173/(C110+C111)*100</f>
        <v>-100</v>
      </c>
      <c r="E211" s="98">
        <f t="shared" si="107"/>
        <v>-100</v>
      </c>
      <c r="F211" s="98">
        <f t="shared" si="107"/>
        <v>-100</v>
      </c>
      <c r="G211" s="98">
        <f t="shared" si="107"/>
        <v>-56.56305144563595</v>
      </c>
      <c r="H211" s="98">
        <f t="shared" si="107"/>
        <v>-30.293348823700256</v>
      </c>
      <c r="I211" s="98">
        <f t="shared" si="107"/>
        <v>-15.07542298467951</v>
      </c>
      <c r="J211" s="98">
        <f t="shared" si="107"/>
        <v>40.19613268684186</v>
      </c>
      <c r="K211" s="98">
        <f t="shared" si="107"/>
        <v>88.44176539284007</v>
      </c>
      <c r="L211" s="98">
        <f t="shared" si="107"/>
        <v>160.81021445183737</v>
      </c>
      <c r="M211" s="98">
        <f t="shared" si="107"/>
        <v>281.42429621683283</v>
      </c>
      <c r="N211" s="98">
        <f t="shared" si="107"/>
        <v>476.4444936431212</v>
      </c>
      <c r="O211" s="98">
        <f t="shared" si="107"/>
        <v>639.0734522574676</v>
      </c>
      <c r="P211" s="98">
        <f t="shared" si="107"/>
        <v>102.23375143608915</v>
      </c>
      <c r="Q211" s="98">
        <f t="shared" si="107"/>
        <v>848.0784338832667</v>
      </c>
      <c r="R211" s="98">
        <f t="shared" si="107"/>
        <v>1077.477235865803</v>
      </c>
      <c r="S211" s="98">
        <f t="shared" si="107"/>
        <v>32.09050606172424</v>
      </c>
      <c r="T211" s="98">
        <f t="shared" si="107"/>
        <v>1304.8654227698362</v>
      </c>
      <c r="U211" s="98">
        <f t="shared" si="107"/>
        <v>941.8377372298525</v>
      </c>
      <c r="V211" s="98">
        <f t="shared" si="107"/>
        <v>400.62215496705494</v>
      </c>
    </row>
    <row r="212" spans="1:22" ht="13.5">
      <c r="A212" s="169"/>
      <c r="B212" s="99" t="s">
        <v>140</v>
      </c>
      <c r="C212" s="171"/>
      <c r="D212" s="100">
        <f aca="true" t="shared" si="108" ref="D212:M212">D174/(C110+C111+C112)*100</f>
        <v>-92.69359163968747</v>
      </c>
      <c r="E212" s="100">
        <f t="shared" si="108"/>
        <v>-83.41094640550757</v>
      </c>
      <c r="F212" s="100">
        <f t="shared" si="108"/>
        <v>-89.75257344598997</v>
      </c>
      <c r="G212" s="100">
        <f t="shared" si="108"/>
        <v>-45.095121419316776</v>
      </c>
      <c r="H212" s="100">
        <f t="shared" si="108"/>
        <v>-23.290412492704245</v>
      </c>
      <c r="I212" s="100">
        <f t="shared" si="108"/>
        <v>-10.40669448455426</v>
      </c>
      <c r="J212" s="100">
        <f t="shared" si="108"/>
        <v>37.60272339752736</v>
      </c>
      <c r="K212" s="100">
        <f t="shared" si="108"/>
        <v>79.59996393178166</v>
      </c>
      <c r="L212" s="100">
        <f t="shared" si="108"/>
        <v>142.5958247331631</v>
      </c>
      <c r="M212" s="100">
        <f t="shared" si="108"/>
        <v>247.58892606879886</v>
      </c>
      <c r="N212" s="100"/>
      <c r="O212" s="100"/>
      <c r="P212" s="100"/>
      <c r="Q212" s="100"/>
      <c r="R212" s="100"/>
      <c r="S212" s="100"/>
      <c r="T212" s="100"/>
      <c r="U212" s="100"/>
      <c r="V212" s="100">
        <f>V174/(U110+U111+U112)*100</f>
        <v>379.10460928526356</v>
      </c>
    </row>
    <row r="213" spans="1:22" ht="13.5">
      <c r="A213" s="169"/>
      <c r="B213" s="99" t="s">
        <v>141</v>
      </c>
      <c r="C213" s="171"/>
      <c r="D213" s="100">
        <f aca="true" t="shared" si="109" ref="D213:M213">D175/(C118+C119+C121)*100</f>
        <v>-84.80725060122774</v>
      </c>
      <c r="E213" s="100">
        <f t="shared" si="109"/>
        <v>-61.541078670921834</v>
      </c>
      <c r="F213" s="100">
        <f t="shared" si="109"/>
        <v>-70.60384882521242</v>
      </c>
      <c r="G213" s="100">
        <f t="shared" si="109"/>
        <v>-26.010390057023237</v>
      </c>
      <c r="H213" s="100">
        <f t="shared" si="109"/>
        <v>-8.930888592088168</v>
      </c>
      <c r="I213" s="100">
        <f t="shared" si="109"/>
        <v>0.889572457356274</v>
      </c>
      <c r="J213" s="100">
        <f t="shared" si="109"/>
        <v>37.78739546112871</v>
      </c>
      <c r="K213" s="100">
        <f t="shared" si="109"/>
        <v>69.23326521442466</v>
      </c>
      <c r="L213" s="100">
        <f t="shared" si="109"/>
        <v>115.7144062969845</v>
      </c>
      <c r="M213" s="100">
        <f t="shared" si="109"/>
        <v>192.42654486579517</v>
      </c>
      <c r="N213" s="100"/>
      <c r="O213" s="100"/>
      <c r="P213" s="100"/>
      <c r="Q213" s="100"/>
      <c r="R213" s="100"/>
      <c r="S213" s="100"/>
      <c r="T213" s="100"/>
      <c r="U213" s="100"/>
      <c r="V213" s="100">
        <f>V175/(U118+U119+U121)*100</f>
        <v>300.34898352736604</v>
      </c>
    </row>
    <row r="214" spans="1:22" ht="14.25" customHeight="1">
      <c r="A214" s="169"/>
      <c r="B214" s="99" t="s">
        <v>142</v>
      </c>
      <c r="C214" s="171"/>
      <c r="D214" s="100">
        <f aca="true" t="shared" si="110" ref="D214:M214">D176/(C110+C111+C114)*100</f>
        <v>-80.96729582527024</v>
      </c>
      <c r="E214" s="100">
        <f t="shared" si="110"/>
        <v>-58.245029302710535</v>
      </c>
      <c r="F214" s="100">
        <f t="shared" si="110"/>
        <v>-73.59830465913652</v>
      </c>
      <c r="G214" s="100">
        <f t="shared" si="110"/>
        <v>-20.47467304255345</v>
      </c>
      <c r="H214" s="100">
        <f t="shared" si="110"/>
        <v>-1.6444804165469968</v>
      </c>
      <c r="I214" s="100">
        <f t="shared" si="110"/>
        <v>9.564490966016788</v>
      </c>
      <c r="J214" s="100">
        <f t="shared" si="110"/>
        <v>54.4283239371475</v>
      </c>
      <c r="K214" s="100">
        <f t="shared" si="110"/>
        <v>94.04026670488052</v>
      </c>
      <c r="L214" s="100">
        <f t="shared" si="110"/>
        <v>153.45818085648008</v>
      </c>
      <c r="M214" s="100">
        <f t="shared" si="110"/>
        <v>252.48803777581264</v>
      </c>
      <c r="N214" s="100"/>
      <c r="O214" s="100"/>
      <c r="P214" s="100"/>
      <c r="Q214" s="100"/>
      <c r="R214" s="100"/>
      <c r="S214" s="100"/>
      <c r="T214" s="100"/>
      <c r="U214" s="100"/>
      <c r="V214" s="100">
        <f>V176/(U110+U111+U114)*100</f>
        <v>377.9449575311202</v>
      </c>
    </row>
    <row r="215" spans="1:22" ht="13.5">
      <c r="A215" s="169"/>
      <c r="B215" s="101" t="s">
        <v>143</v>
      </c>
      <c r="C215" s="172"/>
      <c r="D215" s="102">
        <f aca="true" t="shared" si="111" ref="D215:M215">D177/(C118+C119+C123)*100</f>
        <v>-87.04859697969137</v>
      </c>
      <c r="E215" s="102">
        <f t="shared" si="111"/>
        <v>-61.625271019630546</v>
      </c>
      <c r="F215" s="102">
        <f t="shared" si="111"/>
        <v>-71.9187591329665</v>
      </c>
      <c r="G215" s="102">
        <f t="shared" si="111"/>
        <v>-19.17486084245384</v>
      </c>
      <c r="H215" s="102">
        <f t="shared" si="111"/>
        <v>0.48959670747881956</v>
      </c>
      <c r="I215" s="102">
        <f t="shared" si="111"/>
        <v>0.4030117860889384</v>
      </c>
      <c r="J215" s="102">
        <f t="shared" si="111"/>
        <v>54.70761847285566</v>
      </c>
      <c r="K215" s="102">
        <f t="shared" si="111"/>
        <v>91.76959169247608</v>
      </c>
      <c r="L215" s="102">
        <f t="shared" si="111"/>
        <v>146.6391628917786</v>
      </c>
      <c r="M215" s="102">
        <f t="shared" si="111"/>
        <v>237.2927207308086</v>
      </c>
      <c r="N215" s="102"/>
      <c r="O215" s="102"/>
      <c r="P215" s="102"/>
      <c r="Q215" s="102"/>
      <c r="R215" s="102"/>
      <c r="S215" s="102"/>
      <c r="T215" s="102"/>
      <c r="U215" s="102"/>
      <c r="V215" s="102">
        <f>V177/(U118+U119+U123)*100</f>
        <v>322.43341354761463</v>
      </c>
    </row>
    <row r="216" spans="1:22" ht="15" customHeight="1">
      <c r="A216" s="169" t="s">
        <v>171</v>
      </c>
      <c r="B216" s="97" t="s">
        <v>97</v>
      </c>
      <c r="C216" s="170" t="s">
        <v>137</v>
      </c>
      <c r="D216" s="98">
        <f aca="true" t="shared" si="112" ref="D216:V216">D178/C118*100</f>
        <v>-100</v>
      </c>
      <c r="E216" s="98">
        <f t="shared" si="112"/>
        <v>-100</v>
      </c>
      <c r="F216" s="98">
        <f t="shared" si="112"/>
        <v>-100</v>
      </c>
      <c r="G216" s="98">
        <f t="shared" si="112"/>
        <v>-100</v>
      </c>
      <c r="H216" s="98">
        <f t="shared" si="112"/>
        <v>-100</v>
      </c>
      <c r="I216" s="98">
        <f t="shared" si="112"/>
        <v>-100</v>
      </c>
      <c r="J216" s="98">
        <f t="shared" si="112"/>
        <v>-44.6908953079985</v>
      </c>
      <c r="K216" s="98">
        <f t="shared" si="112"/>
        <v>10.618209384002983</v>
      </c>
      <c r="L216" s="98">
        <f t="shared" si="112"/>
        <v>93.5818664220052</v>
      </c>
      <c r="M216" s="98">
        <f t="shared" si="112"/>
        <v>231.85462815200896</v>
      </c>
      <c r="N216" s="98">
        <f t="shared" si="112"/>
        <v>456.3113286490984</v>
      </c>
      <c r="O216" s="98">
        <f t="shared" si="112"/>
        <v>641.7484381987978</v>
      </c>
      <c r="P216" s="98">
        <f t="shared" si="112"/>
        <v>30.623133818022</v>
      </c>
      <c r="Q216" s="98">
        <f t="shared" si="112"/>
        <v>879.1929085818831</v>
      </c>
      <c r="R216" s="98">
        <f t="shared" si="112"/>
        <v>1144.4548555700333</v>
      </c>
      <c r="S216" s="98">
        <f t="shared" si="112"/>
        <v>-48.326068586505194</v>
      </c>
      <c r="T216" s="98">
        <f t="shared" si="112"/>
        <v>1398.5440109913493</v>
      </c>
      <c r="U216" s="98">
        <f t="shared" si="112"/>
        <v>972.2879787056222</v>
      </c>
      <c r="V216" s="98">
        <f t="shared" si="112"/>
        <v>406.03998701756655</v>
      </c>
    </row>
    <row r="217" spans="1:22" ht="13.5">
      <c r="A217" s="169"/>
      <c r="B217" s="99" t="s">
        <v>14</v>
      </c>
      <c r="C217" s="171"/>
      <c r="D217" s="100">
        <f aca="true" t="shared" si="113" ref="D217:V217">D179/C119*100</f>
        <v>-100</v>
      </c>
      <c r="E217" s="100">
        <v>0</v>
      </c>
      <c r="F217" s="100">
        <v>0</v>
      </c>
      <c r="G217" s="100">
        <f t="shared" si="113"/>
        <v>619.9999999999999</v>
      </c>
      <c r="H217" s="100">
        <f t="shared" si="113"/>
        <v>620</v>
      </c>
      <c r="I217" s="100">
        <f t="shared" si="113"/>
        <v>619.9999999999999</v>
      </c>
      <c r="J217" s="100">
        <f t="shared" si="113"/>
        <v>620</v>
      </c>
      <c r="K217" s="100">
        <f t="shared" si="113"/>
        <v>619.9999999999999</v>
      </c>
      <c r="L217" s="100">
        <f t="shared" si="113"/>
        <v>620.0000000000001</v>
      </c>
      <c r="M217" s="100">
        <f t="shared" si="113"/>
        <v>620</v>
      </c>
      <c r="N217" s="100">
        <f t="shared" si="113"/>
        <v>619.9999999999999</v>
      </c>
      <c r="O217" s="100">
        <f t="shared" si="113"/>
        <v>620</v>
      </c>
      <c r="P217" s="100">
        <f t="shared" si="113"/>
        <v>620</v>
      </c>
      <c r="Q217" s="100">
        <f t="shared" si="113"/>
        <v>620</v>
      </c>
      <c r="R217" s="100">
        <f t="shared" si="113"/>
        <v>620</v>
      </c>
      <c r="S217" s="100">
        <f t="shared" si="113"/>
        <v>619.9999999999999</v>
      </c>
      <c r="T217" s="100">
        <f t="shared" si="113"/>
        <v>620</v>
      </c>
      <c r="U217" s="100">
        <f t="shared" si="113"/>
        <v>619.9999999999999</v>
      </c>
      <c r="V217" s="100">
        <f t="shared" si="113"/>
        <v>596.9406352295852</v>
      </c>
    </row>
    <row r="218" spans="1:22" ht="13.5">
      <c r="A218" s="169"/>
      <c r="B218" s="99" t="s">
        <v>4</v>
      </c>
      <c r="C218" s="171"/>
      <c r="D218" s="100">
        <f aca="true" t="shared" si="114" ref="D218:M218">D180/C120*100</f>
        <v>20.171673819742487</v>
      </c>
      <c r="E218" s="100">
        <f t="shared" si="114"/>
        <v>20.17167381974249</v>
      </c>
      <c r="F218" s="100">
        <f t="shared" si="114"/>
        <v>20.171673819742495</v>
      </c>
      <c r="G218" s="100">
        <f t="shared" si="114"/>
        <v>20.17167381974249</v>
      </c>
      <c r="H218" s="100">
        <f t="shared" si="114"/>
        <v>20.171673819742487</v>
      </c>
      <c r="I218" s="100">
        <f t="shared" si="114"/>
        <v>20.171673819742473</v>
      </c>
      <c r="J218" s="100">
        <f t="shared" si="114"/>
        <v>20.171673819742495</v>
      </c>
      <c r="K218" s="100">
        <f t="shared" si="114"/>
        <v>20.171673819742477</v>
      </c>
      <c r="L218" s="100">
        <f t="shared" si="114"/>
        <v>20.17167381974249</v>
      </c>
      <c r="M218" s="100">
        <f t="shared" si="114"/>
        <v>20.171673819742495</v>
      </c>
      <c r="N218" s="100"/>
      <c r="O218" s="100"/>
      <c r="P218" s="100"/>
      <c r="Q218" s="100"/>
      <c r="R218" s="100"/>
      <c r="S218" s="100"/>
      <c r="T218" s="100"/>
      <c r="U218" s="100"/>
      <c r="V218" s="100">
        <f>V180/U120*100</f>
        <v>20.171673819742487</v>
      </c>
    </row>
    <row r="219" spans="1:22" ht="13.5">
      <c r="A219" s="169"/>
      <c r="B219" s="99" t="s">
        <v>5</v>
      </c>
      <c r="C219" s="171"/>
      <c r="D219" s="100">
        <f aca="true" t="shared" si="115" ref="D219:M219">D181/C121*100</f>
        <v>71.42857142857143</v>
      </c>
      <c r="E219" s="100">
        <f t="shared" si="115"/>
        <v>71.42857142857143</v>
      </c>
      <c r="F219" s="100">
        <f t="shared" si="115"/>
        <v>71.42857142857143</v>
      </c>
      <c r="G219" s="100">
        <f t="shared" si="115"/>
        <v>71.42857142857143</v>
      </c>
      <c r="H219" s="100">
        <f t="shared" si="115"/>
        <v>71.42857142857143</v>
      </c>
      <c r="I219" s="100">
        <f t="shared" si="115"/>
        <v>71.42857142857143</v>
      </c>
      <c r="J219" s="100">
        <f t="shared" si="115"/>
        <v>71.42857142857143</v>
      </c>
      <c r="K219" s="100">
        <f t="shared" si="115"/>
        <v>71.42857142857143</v>
      </c>
      <c r="L219" s="100">
        <f t="shared" si="115"/>
        <v>71.42857142857143</v>
      </c>
      <c r="M219" s="100">
        <f t="shared" si="115"/>
        <v>71.42857142857143</v>
      </c>
      <c r="N219" s="100"/>
      <c r="O219" s="100"/>
      <c r="P219" s="100"/>
      <c r="Q219" s="100"/>
      <c r="R219" s="100"/>
      <c r="S219" s="100"/>
      <c r="T219" s="100"/>
      <c r="U219" s="100"/>
      <c r="V219" s="100">
        <f>V181/U121*100</f>
        <v>71.42857142857143</v>
      </c>
    </row>
    <row r="220" spans="1:22" ht="13.5">
      <c r="A220" s="169"/>
      <c r="B220" s="99" t="s">
        <v>133</v>
      </c>
      <c r="C220" s="171"/>
      <c r="D220" s="100">
        <f aca="true" t="shared" si="116" ref="D220:M220">D182/C122*100</f>
        <v>119.7265625</v>
      </c>
      <c r="E220" s="100">
        <f t="shared" si="116"/>
        <v>119.7265625</v>
      </c>
      <c r="F220" s="100">
        <f t="shared" si="116"/>
        <v>119.7265625</v>
      </c>
      <c r="G220" s="100">
        <f t="shared" si="116"/>
        <v>119.7265625</v>
      </c>
      <c r="H220" s="100">
        <f t="shared" si="116"/>
        <v>119.7265625</v>
      </c>
      <c r="I220" s="100">
        <f t="shared" si="116"/>
        <v>119.7265625</v>
      </c>
      <c r="J220" s="100">
        <f t="shared" si="116"/>
        <v>119.7265625</v>
      </c>
      <c r="K220" s="100">
        <f t="shared" si="116"/>
        <v>119.7265625</v>
      </c>
      <c r="L220" s="100">
        <f t="shared" si="116"/>
        <v>119.72656250000003</v>
      </c>
      <c r="M220" s="100">
        <f t="shared" si="116"/>
        <v>119.7265625</v>
      </c>
      <c r="N220" s="100"/>
      <c r="O220" s="100"/>
      <c r="P220" s="100"/>
      <c r="Q220" s="100"/>
      <c r="R220" s="100"/>
      <c r="S220" s="100"/>
      <c r="T220" s="100"/>
      <c r="U220" s="100"/>
      <c r="V220" s="100">
        <f>V182/U122*100</f>
        <v>119.72656250000003</v>
      </c>
    </row>
    <row r="221" spans="1:22" ht="13.5">
      <c r="A221" s="169"/>
      <c r="B221" s="101" t="s">
        <v>7</v>
      </c>
      <c r="C221" s="172"/>
      <c r="D221" s="102">
        <f aca="true" t="shared" si="117" ref="D221:M221">D183/C123*100</f>
        <v>91.3265306122449</v>
      </c>
      <c r="E221" s="102">
        <f t="shared" si="117"/>
        <v>837.5</v>
      </c>
      <c r="F221" s="102">
        <f t="shared" si="117"/>
        <v>837.5</v>
      </c>
      <c r="G221" s="102">
        <f t="shared" si="117"/>
        <v>837.5</v>
      </c>
      <c r="H221" s="102">
        <f t="shared" si="117"/>
        <v>837.5000000000002</v>
      </c>
      <c r="I221" s="102">
        <f t="shared" si="117"/>
        <v>91.32653061224487</v>
      </c>
      <c r="J221" s="102">
        <f t="shared" si="117"/>
        <v>837.5</v>
      </c>
      <c r="K221" s="102">
        <f t="shared" si="117"/>
        <v>837.5</v>
      </c>
      <c r="L221" s="102">
        <f t="shared" si="117"/>
        <v>837.5000000000002</v>
      </c>
      <c r="M221" s="102">
        <f t="shared" si="117"/>
        <v>837.5</v>
      </c>
      <c r="N221" s="102"/>
      <c r="O221" s="102"/>
      <c r="P221" s="102"/>
      <c r="Q221" s="102"/>
      <c r="R221" s="102"/>
      <c r="S221" s="102"/>
      <c r="T221" s="102"/>
      <c r="U221" s="102"/>
      <c r="V221" s="102">
        <f>V183/U123*100</f>
        <v>474.88825254923876</v>
      </c>
    </row>
    <row r="222" spans="1:22" ht="13.5">
      <c r="A222" s="169"/>
      <c r="B222" s="97" t="s">
        <v>139</v>
      </c>
      <c r="C222" s="170" t="s">
        <v>138</v>
      </c>
      <c r="D222" s="98">
        <f aca="true" t="shared" si="118" ref="D222:V222">D184/(C110+C111)*100</f>
        <v>-100</v>
      </c>
      <c r="E222" s="98">
        <f t="shared" si="118"/>
        <v>-108.47457627118646</v>
      </c>
      <c r="F222" s="98">
        <f t="shared" si="118"/>
        <v>-111.81102362204723</v>
      </c>
      <c r="G222" s="98">
        <f t="shared" si="118"/>
        <v>-64.88114724646478</v>
      </c>
      <c r="H222" s="98">
        <f t="shared" si="118"/>
        <v>-35.5163400002003</v>
      </c>
      <c r="I222" s="98">
        <f t="shared" si="118"/>
        <v>-18.012193695980713</v>
      </c>
      <c r="J222" s="98">
        <f t="shared" si="118"/>
        <v>48.8272041226668</v>
      </c>
      <c r="K222" s="98">
        <f t="shared" si="118"/>
        <v>109.00961780977963</v>
      </c>
      <c r="L222" s="98">
        <f t="shared" si="118"/>
        <v>200.79065450892406</v>
      </c>
      <c r="M222" s="98">
        <f t="shared" si="118"/>
        <v>355.4833215370521</v>
      </c>
      <c r="N222" s="98">
        <f t="shared" si="118"/>
        <v>608.1251325897123</v>
      </c>
      <c r="O222" s="98">
        <f t="shared" si="118"/>
        <v>823.4215634855833</v>
      </c>
      <c r="P222" s="98">
        <f t="shared" si="118"/>
        <v>132.85676453906518</v>
      </c>
      <c r="Q222" s="98">
        <f t="shared" si="118"/>
        <v>1110.7575948205617</v>
      </c>
      <c r="R222" s="98">
        <f t="shared" si="118"/>
        <v>1421.3529494399959</v>
      </c>
      <c r="S222" s="98">
        <f t="shared" si="118"/>
        <v>42.61198345901088</v>
      </c>
      <c r="T222" s="98">
        <f t="shared" si="118"/>
        <v>1743.2589442537737</v>
      </c>
      <c r="U222" s="98">
        <f t="shared" si="118"/>
        <v>1265.3697843698783</v>
      </c>
      <c r="V222" s="98">
        <f t="shared" si="118"/>
        <v>531.9928361300888</v>
      </c>
    </row>
    <row r="223" spans="1:22" ht="13.5">
      <c r="A223" s="169"/>
      <c r="B223" s="99" t="s">
        <v>140</v>
      </c>
      <c r="C223" s="171"/>
      <c r="D223" s="100">
        <f aca="true" t="shared" si="119" ref="D223:M223">D185/(C118+C119+C120)*100</f>
        <v>-92.69359163968747</v>
      </c>
      <c r="E223" s="100">
        <f t="shared" si="119"/>
        <v>-83.41094640550756</v>
      </c>
      <c r="F223" s="100">
        <f t="shared" si="119"/>
        <v>-89.75257344598997</v>
      </c>
      <c r="G223" s="100">
        <f t="shared" si="119"/>
        <v>-45.095121419316776</v>
      </c>
      <c r="H223" s="100">
        <f t="shared" si="119"/>
        <v>-23.29041249270424</v>
      </c>
      <c r="I223" s="100">
        <f t="shared" si="119"/>
        <v>-10.40669448455426</v>
      </c>
      <c r="J223" s="100">
        <f t="shared" si="119"/>
        <v>37.602723397527356</v>
      </c>
      <c r="K223" s="100">
        <f t="shared" si="119"/>
        <v>79.59996393178166</v>
      </c>
      <c r="L223" s="100">
        <f t="shared" si="119"/>
        <v>142.5958247331631</v>
      </c>
      <c r="M223" s="100">
        <f t="shared" si="119"/>
        <v>247.58892606879894</v>
      </c>
      <c r="N223" s="100"/>
      <c r="O223" s="100"/>
      <c r="P223" s="100"/>
      <c r="Q223" s="100"/>
      <c r="R223" s="100"/>
      <c r="S223" s="100"/>
      <c r="T223" s="100"/>
      <c r="U223" s="100"/>
      <c r="V223" s="100">
        <f>V185/(U118+U119+U120)*100</f>
        <v>404.19962921811054</v>
      </c>
    </row>
    <row r="224" spans="1:22" ht="13.5">
      <c r="A224" s="169"/>
      <c r="B224" s="99" t="s">
        <v>141</v>
      </c>
      <c r="C224" s="171"/>
      <c r="D224" s="100">
        <f aca="true" t="shared" si="120" ref="D224:M224">D186/(C118+C119+C121)*100</f>
        <v>-84.80725060122774</v>
      </c>
      <c r="E224" s="100">
        <f t="shared" si="120"/>
        <v>-66.75642432099997</v>
      </c>
      <c r="F224" s="100">
        <f t="shared" si="120"/>
        <v>-78.94288608803276</v>
      </c>
      <c r="G224" s="100">
        <f t="shared" si="120"/>
        <v>-29.835447418350185</v>
      </c>
      <c r="H224" s="100">
        <f t="shared" si="120"/>
        <v>-10.470696970034403</v>
      </c>
      <c r="I224" s="100">
        <f t="shared" si="120"/>
        <v>1.0628657932048993</v>
      </c>
      <c r="J224" s="100">
        <f t="shared" si="120"/>
        <v>45.901253382229974</v>
      </c>
      <c r="K224" s="100">
        <f t="shared" si="120"/>
        <v>85.33402456661643</v>
      </c>
      <c r="L224" s="100">
        <f t="shared" si="120"/>
        <v>144.48318134319615</v>
      </c>
      <c r="M224" s="100">
        <f t="shared" si="120"/>
        <v>243.06510930416238</v>
      </c>
      <c r="N224" s="100"/>
      <c r="O224" s="100"/>
      <c r="P224" s="100"/>
      <c r="Q224" s="100"/>
      <c r="R224" s="100"/>
      <c r="S224" s="100"/>
      <c r="T224" s="100"/>
      <c r="U224" s="100"/>
      <c r="V224" s="100">
        <f>V186/(U118+U119+U121)*100</f>
        <v>398.14444144151724</v>
      </c>
    </row>
    <row r="225" spans="1:22" ht="13.5">
      <c r="A225" s="169"/>
      <c r="B225" s="99" t="s">
        <v>142</v>
      </c>
      <c r="C225" s="171"/>
      <c r="D225" s="100">
        <f aca="true" t="shared" si="121" ref="D225:M225">D187/(C118+C119+C122)*100</f>
        <v>-80.96729582527024</v>
      </c>
      <c r="E225" s="100">
        <f t="shared" si="121"/>
        <v>-58.24502930271055</v>
      </c>
      <c r="F225" s="100">
        <f t="shared" si="121"/>
        <v>-73.59830465913652</v>
      </c>
      <c r="G225" s="100">
        <f t="shared" si="121"/>
        <v>-20.474673042553455</v>
      </c>
      <c r="H225" s="100">
        <f t="shared" si="121"/>
        <v>-1.6444804165469955</v>
      </c>
      <c r="I225" s="100">
        <f t="shared" si="121"/>
        <v>9.564490966016791</v>
      </c>
      <c r="J225" s="100">
        <f t="shared" si="121"/>
        <v>54.428323937147496</v>
      </c>
      <c r="K225" s="100">
        <f t="shared" si="121"/>
        <v>94.04026670488054</v>
      </c>
      <c r="L225" s="100">
        <f t="shared" si="121"/>
        <v>153.45818085648014</v>
      </c>
      <c r="M225" s="100">
        <f t="shared" si="121"/>
        <v>252.48803777581276</v>
      </c>
      <c r="N225" s="100"/>
      <c r="O225" s="100"/>
      <c r="P225" s="100"/>
      <c r="Q225" s="100"/>
      <c r="R225" s="100"/>
      <c r="S225" s="100"/>
      <c r="T225" s="100"/>
      <c r="U225" s="100"/>
      <c r="V225" s="100">
        <f>V187/(U118+U119+U122)*100</f>
        <v>402.4864777254458</v>
      </c>
    </row>
    <row r="226" spans="1:22" ht="13.5">
      <c r="A226" s="169"/>
      <c r="B226" s="101" t="s">
        <v>143</v>
      </c>
      <c r="C226" s="172"/>
      <c r="D226" s="102">
        <f aca="true" t="shared" si="122" ref="D226:M226">D188/(C118+C119+C123)*100</f>
        <v>-87.04859697969137</v>
      </c>
      <c r="E226" s="102">
        <f t="shared" si="122"/>
        <v>-66.8477516145145</v>
      </c>
      <c r="F226" s="102">
        <f t="shared" si="122"/>
        <v>-80.41310076284444</v>
      </c>
      <c r="G226" s="102">
        <f t="shared" si="122"/>
        <v>-21.994693319285293</v>
      </c>
      <c r="H226" s="102">
        <f t="shared" si="122"/>
        <v>0.5740099329062065</v>
      </c>
      <c r="I226" s="102">
        <f t="shared" si="122"/>
        <v>0.481520575586784</v>
      </c>
      <c r="J226" s="102">
        <f t="shared" si="122"/>
        <v>66.45465311426638</v>
      </c>
      <c r="K226" s="102">
        <f t="shared" si="122"/>
        <v>113.11135720235421</v>
      </c>
      <c r="L226" s="102">
        <f t="shared" si="122"/>
        <v>183.09641333448604</v>
      </c>
      <c r="M226" s="102">
        <f t="shared" si="122"/>
        <v>299.7381735547057</v>
      </c>
      <c r="N226" s="102"/>
      <c r="O226" s="102"/>
      <c r="P226" s="102"/>
      <c r="Q226" s="102"/>
      <c r="R226" s="102"/>
      <c r="S226" s="102"/>
      <c r="T226" s="102"/>
      <c r="U226" s="102"/>
      <c r="V226" s="102">
        <f>V188/(U118+U119+U123)*100</f>
        <v>426.9975328086032</v>
      </c>
    </row>
    <row r="227" spans="1:22" ht="15" customHeight="1">
      <c r="A227" s="169" t="s">
        <v>172</v>
      </c>
      <c r="B227" s="97" t="s">
        <v>97</v>
      </c>
      <c r="C227" s="170" t="s">
        <v>137</v>
      </c>
      <c r="D227" s="98">
        <f aca="true" t="shared" si="123" ref="D227:V227">D189/C126*100</f>
        <v>-100</v>
      </c>
      <c r="E227" s="98">
        <f t="shared" si="123"/>
        <v>-100</v>
      </c>
      <c r="F227" s="98">
        <f t="shared" si="123"/>
        <v>-100</v>
      </c>
      <c r="G227" s="98">
        <f t="shared" si="123"/>
        <v>-100</v>
      </c>
      <c r="H227" s="98">
        <f t="shared" si="123"/>
        <v>-100</v>
      </c>
      <c r="I227" s="98">
        <f t="shared" si="123"/>
        <v>-100</v>
      </c>
      <c r="J227" s="98">
        <f t="shared" si="123"/>
        <v>-44.6908953079985</v>
      </c>
      <c r="K227" s="98">
        <f t="shared" si="123"/>
        <v>10.618209384002972</v>
      </c>
      <c r="L227" s="98">
        <f t="shared" si="123"/>
        <v>93.5818664220052</v>
      </c>
      <c r="M227" s="98">
        <f t="shared" si="123"/>
        <v>231.8546281520089</v>
      </c>
      <c r="N227" s="98">
        <f t="shared" si="123"/>
        <v>456.3113286490985</v>
      </c>
      <c r="O227" s="98">
        <f t="shared" si="123"/>
        <v>641.7484381987979</v>
      </c>
      <c r="P227" s="98">
        <f t="shared" si="123"/>
        <v>30.62313381802198</v>
      </c>
      <c r="Q227" s="98">
        <f t="shared" si="123"/>
        <v>879.1929085818831</v>
      </c>
      <c r="R227" s="98">
        <f t="shared" si="123"/>
        <v>1144.4548555700335</v>
      </c>
      <c r="S227" s="98">
        <f t="shared" si="123"/>
        <v>-48.326068586505194</v>
      </c>
      <c r="T227" s="98">
        <f t="shared" si="123"/>
        <v>1398.544010991349</v>
      </c>
      <c r="U227" s="98">
        <f t="shared" si="123"/>
        <v>972.2879787056223</v>
      </c>
      <c r="V227" s="98">
        <f t="shared" si="123"/>
        <v>427.18253642378505</v>
      </c>
    </row>
    <row r="228" spans="1:22" ht="13.5">
      <c r="A228" s="169"/>
      <c r="B228" s="99" t="s">
        <v>14</v>
      </c>
      <c r="C228" s="171"/>
      <c r="D228" s="100">
        <f aca="true" t="shared" si="124" ref="D228:V228">D190/C127*100</f>
        <v>-100</v>
      </c>
      <c r="E228" s="100">
        <v>0</v>
      </c>
      <c r="F228" s="100">
        <v>0</v>
      </c>
      <c r="G228" s="100">
        <f t="shared" si="124"/>
        <v>620</v>
      </c>
      <c r="H228" s="100">
        <f t="shared" si="124"/>
        <v>620</v>
      </c>
      <c r="I228" s="100">
        <f t="shared" si="124"/>
        <v>620.0000000000002</v>
      </c>
      <c r="J228" s="100">
        <f t="shared" si="124"/>
        <v>620</v>
      </c>
      <c r="K228" s="100">
        <f t="shared" si="124"/>
        <v>620</v>
      </c>
      <c r="L228" s="100">
        <f t="shared" si="124"/>
        <v>620</v>
      </c>
      <c r="M228" s="100">
        <f t="shared" si="124"/>
        <v>620</v>
      </c>
      <c r="N228" s="100">
        <f t="shared" si="124"/>
        <v>620</v>
      </c>
      <c r="O228" s="100">
        <f t="shared" si="124"/>
        <v>620</v>
      </c>
      <c r="P228" s="100">
        <f t="shared" si="124"/>
        <v>620</v>
      </c>
      <c r="Q228" s="100">
        <f t="shared" si="124"/>
        <v>620.0000000000002</v>
      </c>
      <c r="R228" s="100">
        <f t="shared" si="124"/>
        <v>620</v>
      </c>
      <c r="S228" s="100">
        <f t="shared" si="124"/>
        <v>620</v>
      </c>
      <c r="T228" s="100">
        <f t="shared" si="124"/>
        <v>620.0000000000001</v>
      </c>
      <c r="U228" s="100">
        <f t="shared" si="124"/>
        <v>620</v>
      </c>
      <c r="V228" s="100">
        <f t="shared" si="124"/>
        <v>601.6347237880497</v>
      </c>
    </row>
    <row r="229" spans="1:22" ht="13.5">
      <c r="A229" s="169"/>
      <c r="B229" s="99" t="s">
        <v>4</v>
      </c>
      <c r="C229" s="171"/>
      <c r="D229" s="100">
        <f aca="true" t="shared" si="125" ref="D229:M229">D191/C128*100</f>
        <v>20.171673819742487</v>
      </c>
      <c r="E229" s="100">
        <f t="shared" si="125"/>
        <v>20.171673819742477</v>
      </c>
      <c r="F229" s="100">
        <f t="shared" si="125"/>
        <v>20.17167381974248</v>
      </c>
      <c r="G229" s="100">
        <f t="shared" si="125"/>
        <v>20.171673819742487</v>
      </c>
      <c r="H229" s="100">
        <f t="shared" si="125"/>
        <v>20.171673819742487</v>
      </c>
      <c r="I229" s="100">
        <f t="shared" si="125"/>
        <v>20.171673819742487</v>
      </c>
      <c r="J229" s="100">
        <f t="shared" si="125"/>
        <v>20.171673819742495</v>
      </c>
      <c r="K229" s="100">
        <f t="shared" si="125"/>
        <v>20.171673819742484</v>
      </c>
      <c r="L229" s="100">
        <f t="shared" si="125"/>
        <v>20.171673819742477</v>
      </c>
      <c r="M229" s="100">
        <f t="shared" si="125"/>
        <v>20.171673819742487</v>
      </c>
      <c r="N229" s="100"/>
      <c r="O229" s="100"/>
      <c r="P229" s="100"/>
      <c r="Q229" s="100"/>
      <c r="R229" s="100"/>
      <c r="S229" s="100"/>
      <c r="T229" s="100"/>
      <c r="U229" s="100"/>
      <c r="V229" s="100">
        <f>V191/U128*100</f>
        <v>20.171673819742487</v>
      </c>
    </row>
    <row r="230" spans="1:22" ht="13.5">
      <c r="A230" s="169"/>
      <c r="B230" s="99" t="s">
        <v>5</v>
      </c>
      <c r="C230" s="171"/>
      <c r="D230" s="100">
        <f aca="true" t="shared" si="126" ref="D230:M230">D192/C129*100</f>
        <v>71.42857142857143</v>
      </c>
      <c r="E230" s="100">
        <f t="shared" si="126"/>
        <v>71.42857142857143</v>
      </c>
      <c r="F230" s="100">
        <f t="shared" si="126"/>
        <v>71.42857142857143</v>
      </c>
      <c r="G230" s="100">
        <f t="shared" si="126"/>
        <v>71.42857142857143</v>
      </c>
      <c r="H230" s="100">
        <f t="shared" si="126"/>
        <v>71.42857142857143</v>
      </c>
      <c r="I230" s="100">
        <f t="shared" si="126"/>
        <v>71.42857142857143</v>
      </c>
      <c r="J230" s="100">
        <f t="shared" si="126"/>
        <v>71.42857142857143</v>
      </c>
      <c r="K230" s="100">
        <f t="shared" si="126"/>
        <v>71.42857142857143</v>
      </c>
      <c r="L230" s="100">
        <f t="shared" si="126"/>
        <v>71.42857142857143</v>
      </c>
      <c r="M230" s="100">
        <f t="shared" si="126"/>
        <v>71.42857142857143</v>
      </c>
      <c r="N230" s="100"/>
      <c r="O230" s="100"/>
      <c r="P230" s="100"/>
      <c r="Q230" s="100"/>
      <c r="R230" s="100"/>
      <c r="S230" s="100"/>
      <c r="T230" s="100"/>
      <c r="U230" s="100"/>
      <c r="V230" s="100">
        <f>V192/U129*100</f>
        <v>71.42857142857143</v>
      </c>
    </row>
    <row r="231" spans="1:22" ht="13.5">
      <c r="A231" s="169"/>
      <c r="B231" s="99" t="s">
        <v>133</v>
      </c>
      <c r="C231" s="171"/>
      <c r="D231" s="100">
        <f aca="true" t="shared" si="127" ref="D231:M231">D193/C130*100</f>
        <v>119.7265625</v>
      </c>
      <c r="E231" s="100">
        <f t="shared" si="127"/>
        <v>119.72656250000003</v>
      </c>
      <c r="F231" s="100">
        <f t="shared" si="127"/>
        <v>119.72656249999997</v>
      </c>
      <c r="G231" s="100">
        <f t="shared" si="127"/>
        <v>119.7265625</v>
      </c>
      <c r="H231" s="100">
        <f t="shared" si="127"/>
        <v>119.7265625</v>
      </c>
      <c r="I231" s="100">
        <f t="shared" si="127"/>
        <v>119.72656249999997</v>
      </c>
      <c r="J231" s="100">
        <f t="shared" si="127"/>
        <v>119.7265625</v>
      </c>
      <c r="K231" s="100">
        <f t="shared" si="127"/>
        <v>119.7265625</v>
      </c>
      <c r="L231" s="100">
        <f t="shared" si="127"/>
        <v>119.72656250000003</v>
      </c>
      <c r="M231" s="100">
        <f t="shared" si="127"/>
        <v>119.7265625</v>
      </c>
      <c r="N231" s="100"/>
      <c r="O231" s="100"/>
      <c r="P231" s="100"/>
      <c r="Q231" s="100"/>
      <c r="R231" s="100"/>
      <c r="S231" s="100"/>
      <c r="T231" s="100"/>
      <c r="U231" s="100"/>
      <c r="V231" s="100">
        <f>V193/U130*100</f>
        <v>119.7265625</v>
      </c>
    </row>
    <row r="232" spans="1:22" ht="13.5">
      <c r="A232" s="169"/>
      <c r="B232" s="101" t="s">
        <v>7</v>
      </c>
      <c r="C232" s="172"/>
      <c r="D232" s="102">
        <f aca="true" t="shared" si="128" ref="D232:M232">D194/C131*100</f>
        <v>91.3265306122449</v>
      </c>
      <c r="E232" s="102">
        <f t="shared" si="128"/>
        <v>837.5</v>
      </c>
      <c r="F232" s="102">
        <f t="shared" si="128"/>
        <v>837.5</v>
      </c>
      <c r="G232" s="102">
        <f t="shared" si="128"/>
        <v>837.5</v>
      </c>
      <c r="H232" s="102">
        <f t="shared" si="128"/>
        <v>837.5</v>
      </c>
      <c r="I232" s="102">
        <f t="shared" si="128"/>
        <v>91.32653061224491</v>
      </c>
      <c r="J232" s="102">
        <f t="shared" si="128"/>
        <v>837.5</v>
      </c>
      <c r="K232" s="102">
        <f t="shared" si="128"/>
        <v>837.5</v>
      </c>
      <c r="L232" s="102">
        <f t="shared" si="128"/>
        <v>837.5</v>
      </c>
      <c r="M232" s="102">
        <f t="shared" si="128"/>
        <v>837.5</v>
      </c>
      <c r="N232" s="102"/>
      <c r="O232" s="102"/>
      <c r="P232" s="102"/>
      <c r="Q232" s="102"/>
      <c r="R232" s="102"/>
      <c r="S232" s="102"/>
      <c r="T232" s="102"/>
      <c r="U232" s="102"/>
      <c r="V232" s="102">
        <f>V194/U131*100</f>
        <v>485.9375</v>
      </c>
    </row>
    <row r="233" spans="1:22" ht="13.5">
      <c r="A233" s="169"/>
      <c r="B233" s="97" t="s">
        <v>139</v>
      </c>
      <c r="C233" s="170" t="s">
        <v>138</v>
      </c>
      <c r="D233" s="98">
        <f aca="true" t="shared" si="129" ref="D233:V233">D195/(C126+C127)*100</f>
        <v>-100</v>
      </c>
      <c r="E233" s="98">
        <f t="shared" si="129"/>
        <v>-100</v>
      </c>
      <c r="F233" s="98">
        <f t="shared" si="129"/>
        <v>-100</v>
      </c>
      <c r="G233" s="98">
        <f t="shared" si="129"/>
        <v>-56.56305144563595</v>
      </c>
      <c r="H233" s="98">
        <f t="shared" si="129"/>
        <v>-30.293348823700267</v>
      </c>
      <c r="I233" s="98">
        <f t="shared" si="129"/>
        <v>-15.075422984679488</v>
      </c>
      <c r="J233" s="98">
        <f t="shared" si="129"/>
        <v>40.19613268684187</v>
      </c>
      <c r="K233" s="98">
        <f t="shared" si="129"/>
        <v>88.44176539284004</v>
      </c>
      <c r="L233" s="98">
        <f t="shared" si="129"/>
        <v>160.81021445183737</v>
      </c>
      <c r="M233" s="98">
        <f t="shared" si="129"/>
        <v>281.4242962168329</v>
      </c>
      <c r="N233" s="98">
        <f t="shared" si="129"/>
        <v>476.44449364312106</v>
      </c>
      <c r="O233" s="98">
        <f t="shared" si="129"/>
        <v>639.0734522574676</v>
      </c>
      <c r="P233" s="98">
        <f t="shared" si="129"/>
        <v>102.23375143608911</v>
      </c>
      <c r="Q233" s="98">
        <f t="shared" si="129"/>
        <v>848.0784338832668</v>
      </c>
      <c r="R233" s="98">
        <f t="shared" si="129"/>
        <v>1077.4772358658033</v>
      </c>
      <c r="S233" s="98">
        <f t="shared" si="129"/>
        <v>32.09050606172424</v>
      </c>
      <c r="T233" s="98">
        <f t="shared" si="129"/>
        <v>1304.8654227698362</v>
      </c>
      <c r="U233" s="98">
        <f t="shared" si="129"/>
        <v>941.8377372298528</v>
      </c>
      <c r="V233" s="98">
        <f t="shared" si="129"/>
        <v>445.6499622622327</v>
      </c>
    </row>
    <row r="234" spans="1:22" ht="13.5">
      <c r="A234" s="169"/>
      <c r="B234" s="99" t="s">
        <v>140</v>
      </c>
      <c r="C234" s="171"/>
      <c r="D234" s="100">
        <f aca="true" t="shared" si="130" ref="D234:M234">D196/(C126+C127+C128)*100</f>
        <v>-92.69359163968747</v>
      </c>
      <c r="E234" s="100">
        <f t="shared" si="130"/>
        <v>-83.41094640550757</v>
      </c>
      <c r="F234" s="100">
        <f t="shared" si="130"/>
        <v>-89.75257344598995</v>
      </c>
      <c r="G234" s="100">
        <f t="shared" si="130"/>
        <v>-45.09512141931678</v>
      </c>
      <c r="H234" s="100">
        <f t="shared" si="130"/>
        <v>-23.290412492704256</v>
      </c>
      <c r="I234" s="100">
        <f t="shared" si="130"/>
        <v>-10.406694484554238</v>
      </c>
      <c r="J234" s="100">
        <f t="shared" si="130"/>
        <v>37.60272339752736</v>
      </c>
      <c r="K234" s="100">
        <f t="shared" si="130"/>
        <v>79.59996393178164</v>
      </c>
      <c r="L234" s="100">
        <f t="shared" si="130"/>
        <v>142.5958247331631</v>
      </c>
      <c r="M234" s="100">
        <f t="shared" si="130"/>
        <v>247.58892606879886</v>
      </c>
      <c r="N234" s="100"/>
      <c r="O234" s="100"/>
      <c r="P234" s="100"/>
      <c r="Q234" s="100"/>
      <c r="R234" s="100"/>
      <c r="S234" s="100"/>
      <c r="T234" s="100"/>
      <c r="U234" s="100"/>
      <c r="V234" s="100">
        <f>V196/(U126+U127+U128)*100</f>
        <v>423.76523751380984</v>
      </c>
    </row>
    <row r="235" spans="1:22" ht="13.5">
      <c r="A235" s="169"/>
      <c r="B235" s="99" t="s">
        <v>141</v>
      </c>
      <c r="C235" s="171"/>
      <c r="D235" s="100">
        <f aca="true" t="shared" si="131" ref="D235:M235">D197/(C126+C127+C129)*100</f>
        <v>-84.80725060122774</v>
      </c>
      <c r="E235" s="100">
        <f t="shared" si="131"/>
        <v>-66.75642432099997</v>
      </c>
      <c r="F235" s="100">
        <f t="shared" si="131"/>
        <v>-78.94288608803278</v>
      </c>
      <c r="G235" s="100">
        <f t="shared" si="131"/>
        <v>-29.83544741835018</v>
      </c>
      <c r="H235" s="100">
        <f t="shared" si="131"/>
        <v>-10.470696970034414</v>
      </c>
      <c r="I235" s="100">
        <f t="shared" si="131"/>
        <v>1.0628657932049175</v>
      </c>
      <c r="J235" s="100">
        <f t="shared" si="131"/>
        <v>45.90125338222998</v>
      </c>
      <c r="K235" s="100">
        <f t="shared" si="131"/>
        <v>85.33402456661643</v>
      </c>
      <c r="L235" s="100">
        <f t="shared" si="131"/>
        <v>144.48318134319615</v>
      </c>
      <c r="M235" s="100">
        <f t="shared" si="131"/>
        <v>243.06510930416235</v>
      </c>
      <c r="N235" s="100"/>
      <c r="O235" s="100"/>
      <c r="P235" s="100"/>
      <c r="Q235" s="100"/>
      <c r="R235" s="100"/>
      <c r="S235" s="100"/>
      <c r="T235" s="100"/>
      <c r="U235" s="100"/>
      <c r="V235" s="100">
        <f>V197/(U126+U127+U129)*100</f>
        <v>417.46419922941664</v>
      </c>
    </row>
    <row r="236" spans="1:22" ht="13.5">
      <c r="A236" s="169"/>
      <c r="B236" s="99" t="s">
        <v>142</v>
      </c>
      <c r="C236" s="171"/>
      <c r="D236" s="100">
        <f aca="true" t="shared" si="132" ref="D236:M236">D198/(C126+C127+C130)*100</f>
        <v>-80.96729582527024</v>
      </c>
      <c r="E236" s="100">
        <f t="shared" si="132"/>
        <v>-58.245029302710535</v>
      </c>
      <c r="F236" s="100">
        <f t="shared" si="132"/>
        <v>-73.59830465913652</v>
      </c>
      <c r="G236" s="100">
        <f t="shared" si="132"/>
        <v>-20.474673042553455</v>
      </c>
      <c r="H236" s="100">
        <f t="shared" si="132"/>
        <v>-1.6444804165470068</v>
      </c>
      <c r="I236" s="100">
        <f t="shared" si="132"/>
        <v>9.564490966016807</v>
      </c>
      <c r="J236" s="100">
        <f t="shared" si="132"/>
        <v>54.42832393714752</v>
      </c>
      <c r="K236" s="100">
        <f t="shared" si="132"/>
        <v>94.04026670488052</v>
      </c>
      <c r="L236" s="100">
        <f t="shared" si="132"/>
        <v>153.4581808564801</v>
      </c>
      <c r="M236" s="100">
        <f t="shared" si="132"/>
        <v>252.4880377758127</v>
      </c>
      <c r="N236" s="100"/>
      <c r="O236" s="100"/>
      <c r="P236" s="100"/>
      <c r="Q236" s="100"/>
      <c r="R236" s="100"/>
      <c r="S236" s="100"/>
      <c r="T236" s="100"/>
      <c r="U236" s="100"/>
      <c r="V236" s="100">
        <f>V198/(U126+U127+U130)*100</f>
        <v>421.6650510761065</v>
      </c>
    </row>
    <row r="237" spans="1:22" ht="13.5">
      <c r="A237" s="169"/>
      <c r="B237" s="101" t="s">
        <v>143</v>
      </c>
      <c r="C237" s="172"/>
      <c r="D237" s="102">
        <f aca="true" t="shared" si="133" ref="D237:M237">D199/(C126+C127+C131)*100</f>
        <v>-87.04859697969137</v>
      </c>
      <c r="E237" s="102">
        <f t="shared" si="133"/>
        <v>-66.8477516145145</v>
      </c>
      <c r="F237" s="102">
        <f t="shared" si="133"/>
        <v>-80.41310076284444</v>
      </c>
      <c r="G237" s="102">
        <f t="shared" si="133"/>
        <v>-21.9946933192853</v>
      </c>
      <c r="H237" s="102">
        <f t="shared" si="133"/>
        <v>0.5740099329061911</v>
      </c>
      <c r="I237" s="102">
        <f t="shared" si="133"/>
        <v>0.48152057558680716</v>
      </c>
      <c r="J237" s="102">
        <f t="shared" si="133"/>
        <v>66.45465311426639</v>
      </c>
      <c r="K237" s="102">
        <f t="shared" si="133"/>
        <v>113.11135720235421</v>
      </c>
      <c r="L237" s="102">
        <f t="shared" si="133"/>
        <v>183.09641333448604</v>
      </c>
      <c r="M237" s="102">
        <f t="shared" si="133"/>
        <v>299.73817355470567</v>
      </c>
      <c r="N237" s="102"/>
      <c r="O237" s="102"/>
      <c r="P237" s="102"/>
      <c r="Q237" s="102"/>
      <c r="R237" s="102"/>
      <c r="S237" s="102"/>
      <c r="T237" s="102"/>
      <c r="U237" s="102"/>
      <c r="V237" s="102">
        <f>V199/(U126+U127+U131)*100</f>
        <v>446.4344572892394</v>
      </c>
    </row>
    <row r="238" spans="1:21" ht="13.5">
      <c r="A238" s="33"/>
      <c r="B238" s="33"/>
      <c r="C238" s="33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13"/>
    </row>
    <row r="239" spans="1:20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</row>
    <row r="240" spans="1:20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</row>
    <row r="241" spans="1:20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0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</row>
    <row r="252" spans="1:20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</row>
    <row r="253" spans="1:20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</row>
    <row r="256" spans="1:20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</row>
    <row r="257" spans="1:20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20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</sheetData>
  <sheetProtection/>
  <mergeCells count="18">
    <mergeCell ref="A166:A177"/>
    <mergeCell ref="C167:C172"/>
    <mergeCell ref="C173:C177"/>
    <mergeCell ref="A178:A188"/>
    <mergeCell ref="C178:C183"/>
    <mergeCell ref="C184:C188"/>
    <mergeCell ref="A189:A199"/>
    <mergeCell ref="C189:C194"/>
    <mergeCell ref="C195:C199"/>
    <mergeCell ref="C211:C215"/>
    <mergeCell ref="A205:A215"/>
    <mergeCell ref="C205:C210"/>
    <mergeCell ref="A216:A226"/>
    <mergeCell ref="C216:C221"/>
    <mergeCell ref="C222:C226"/>
    <mergeCell ref="A227:A237"/>
    <mergeCell ref="C227:C232"/>
    <mergeCell ref="C233:C237"/>
  </mergeCells>
  <printOptions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zoomScale="70" zoomScaleNormal="70" zoomScalePageLayoutView="0" workbookViewId="0" topLeftCell="A1">
      <selection activeCell="B19" sqref="B19"/>
    </sheetView>
  </sheetViews>
  <sheetFormatPr defaultColWidth="9.140625" defaultRowHeight="15"/>
  <cols>
    <col min="1" max="1" width="29.00390625" style="0" customWidth="1"/>
    <col min="2" max="2" width="9.140625" style="0" bestFit="1" customWidth="1"/>
    <col min="3" max="5" width="7.7109375" style="0" bestFit="1" customWidth="1"/>
    <col min="6" max="7" width="8.57421875" style="0" bestFit="1" customWidth="1"/>
    <col min="8" max="12" width="9.00390625" style="0" bestFit="1" customWidth="1"/>
    <col min="13" max="13" width="10.421875" style="0" bestFit="1" customWidth="1"/>
    <col min="14" max="14" width="9.00390625" style="0" bestFit="1" customWidth="1"/>
    <col min="15" max="16" width="10.421875" style="0" bestFit="1" customWidth="1"/>
    <col min="17" max="17" width="8.00390625" style="0" bestFit="1" customWidth="1"/>
    <col min="18" max="19" width="10.421875" style="0" bestFit="1" customWidth="1"/>
    <col min="20" max="20" width="12.00390625" style="0" bestFit="1" customWidth="1"/>
  </cols>
  <sheetData>
    <row r="1" spans="1:4" ht="14.25">
      <c r="A1" t="s">
        <v>107</v>
      </c>
      <c r="D1" s="39">
        <v>0.09</v>
      </c>
    </row>
    <row r="2" spans="1:4" ht="14.25">
      <c r="A2" t="s">
        <v>108</v>
      </c>
      <c r="D2" s="39">
        <v>0.14</v>
      </c>
    </row>
    <row r="3" spans="1:4" ht="14.25">
      <c r="A3" t="s">
        <v>103</v>
      </c>
      <c r="D3" s="146">
        <v>0.2</v>
      </c>
    </row>
    <row r="5" spans="1:19" ht="14.25">
      <c r="A5" s="104" t="s">
        <v>151</v>
      </c>
      <c r="B5" s="104">
        <v>1</v>
      </c>
      <c r="C5" s="104">
        <v>2</v>
      </c>
      <c r="D5" s="104">
        <v>3</v>
      </c>
      <c r="E5" s="104">
        <v>4</v>
      </c>
      <c r="F5" s="104">
        <v>5</v>
      </c>
      <c r="G5" s="104">
        <v>6</v>
      </c>
      <c r="H5" s="104">
        <v>7</v>
      </c>
      <c r="I5" s="104">
        <v>8</v>
      </c>
      <c r="J5" s="104">
        <v>9</v>
      </c>
      <c r="K5" s="104">
        <v>10</v>
      </c>
      <c r="L5" s="104">
        <v>11</v>
      </c>
      <c r="M5" s="104">
        <v>12</v>
      </c>
      <c r="N5" s="104">
        <v>13</v>
      </c>
      <c r="O5" s="104">
        <v>14</v>
      </c>
      <c r="P5" s="104">
        <v>15</v>
      </c>
      <c r="Q5" s="104">
        <v>16</v>
      </c>
      <c r="R5" s="104">
        <v>17</v>
      </c>
      <c r="S5" s="104">
        <v>18</v>
      </c>
    </row>
    <row r="6" spans="1:19" ht="14.25">
      <c r="A6" s="44" t="s">
        <v>109</v>
      </c>
      <c r="B6" s="44">
        <f>23000-1400</f>
        <v>21600</v>
      </c>
      <c r="C6" s="44">
        <f>$B$6*(1+$D$1*C5)</f>
        <v>25488</v>
      </c>
      <c r="D6" s="44">
        <f aca="true" t="shared" si="0" ref="D6:S6">$B$6*(1+$D$1*D5)</f>
        <v>27432</v>
      </c>
      <c r="E6" s="44">
        <f t="shared" si="0"/>
        <v>29375.999999999996</v>
      </c>
      <c r="F6" s="44">
        <f t="shared" si="0"/>
        <v>31320</v>
      </c>
      <c r="G6" s="44">
        <f t="shared" si="0"/>
        <v>33264</v>
      </c>
      <c r="H6" s="44">
        <f t="shared" si="0"/>
        <v>35208</v>
      </c>
      <c r="I6" s="44">
        <f t="shared" si="0"/>
        <v>37152</v>
      </c>
      <c r="J6" s="44">
        <f t="shared" si="0"/>
        <v>39096</v>
      </c>
      <c r="K6" s="44">
        <f t="shared" si="0"/>
        <v>41040</v>
      </c>
      <c r="L6" s="44">
        <f t="shared" si="0"/>
        <v>42984</v>
      </c>
      <c r="M6" s="44">
        <f t="shared" si="0"/>
        <v>44928</v>
      </c>
      <c r="N6" s="44">
        <f t="shared" si="0"/>
        <v>46872</v>
      </c>
      <c r="O6" s="44">
        <f t="shared" si="0"/>
        <v>48815.99999999999</v>
      </c>
      <c r="P6" s="44">
        <f t="shared" si="0"/>
        <v>50759.99999999999</v>
      </c>
      <c r="Q6" s="44">
        <f t="shared" si="0"/>
        <v>52704</v>
      </c>
      <c r="R6" s="44">
        <f t="shared" si="0"/>
        <v>54648.00000000001</v>
      </c>
      <c r="S6" s="44">
        <f t="shared" si="0"/>
        <v>56592</v>
      </c>
    </row>
    <row r="7" spans="1:19" ht="14.25">
      <c r="A7" s="44" t="s">
        <v>110</v>
      </c>
      <c r="B7" s="44">
        <f>23000-1400</f>
        <v>21600</v>
      </c>
      <c r="C7" s="44">
        <f>$B$7*(1+$D$2*C5)</f>
        <v>27648</v>
      </c>
      <c r="D7" s="44">
        <f aca="true" t="shared" si="1" ref="D7:S7">$B$7*(1+$D$2*D5)</f>
        <v>30672</v>
      </c>
      <c r="E7" s="44">
        <f t="shared" si="1"/>
        <v>33696</v>
      </c>
      <c r="F7" s="44">
        <f t="shared" si="1"/>
        <v>36720.00000000001</v>
      </c>
      <c r="G7" s="44">
        <f t="shared" si="1"/>
        <v>39744</v>
      </c>
      <c r="H7" s="44">
        <f t="shared" si="1"/>
        <v>42768</v>
      </c>
      <c r="I7" s="44">
        <f t="shared" si="1"/>
        <v>45792</v>
      </c>
      <c r="J7" s="44">
        <f t="shared" si="1"/>
        <v>48816.00000000001</v>
      </c>
      <c r="K7" s="44">
        <f t="shared" si="1"/>
        <v>51840.00000000001</v>
      </c>
      <c r="L7" s="44">
        <f t="shared" si="1"/>
        <v>54864</v>
      </c>
      <c r="M7" s="44">
        <f t="shared" si="1"/>
        <v>57888</v>
      </c>
      <c r="N7" s="44">
        <f t="shared" si="1"/>
        <v>60912.00000000001</v>
      </c>
      <c r="O7" s="44">
        <f t="shared" si="1"/>
        <v>63936</v>
      </c>
      <c r="P7" s="44">
        <f t="shared" si="1"/>
        <v>66960</v>
      </c>
      <c r="Q7" s="44">
        <f t="shared" si="1"/>
        <v>69984</v>
      </c>
      <c r="R7" s="44">
        <f t="shared" si="1"/>
        <v>73008.00000000001</v>
      </c>
      <c r="S7" s="44">
        <f t="shared" si="1"/>
        <v>76032.00000000001</v>
      </c>
    </row>
    <row r="8" spans="1:19" ht="14.25">
      <c r="A8" s="89" t="s">
        <v>111</v>
      </c>
      <c r="B8" s="89">
        <f>23000-1400</f>
        <v>21600</v>
      </c>
      <c r="C8" s="89">
        <f>$B$8*(1+$D$3*C5)</f>
        <v>30239.999999999996</v>
      </c>
      <c r="D8" s="89">
        <f aca="true" t="shared" si="2" ref="D8:S8">$B$8*(1+$D$3*D5)</f>
        <v>34560</v>
      </c>
      <c r="E8" s="89">
        <f t="shared" si="2"/>
        <v>38880</v>
      </c>
      <c r="F8" s="89">
        <f t="shared" si="2"/>
        <v>43200</v>
      </c>
      <c r="G8" s="89">
        <f t="shared" si="2"/>
        <v>47520.00000000001</v>
      </c>
      <c r="H8" s="89">
        <f t="shared" si="2"/>
        <v>51840.00000000001</v>
      </c>
      <c r="I8" s="89">
        <f t="shared" si="2"/>
        <v>56160</v>
      </c>
      <c r="J8" s="89">
        <f t="shared" si="2"/>
        <v>60479.99999999999</v>
      </c>
      <c r="K8" s="89">
        <f t="shared" si="2"/>
        <v>64800</v>
      </c>
      <c r="L8" s="89">
        <f t="shared" si="2"/>
        <v>69120</v>
      </c>
      <c r="M8" s="89">
        <f t="shared" si="2"/>
        <v>73440.00000000001</v>
      </c>
      <c r="N8" s="89">
        <f t="shared" si="2"/>
        <v>77760</v>
      </c>
      <c r="O8" s="89">
        <f t="shared" si="2"/>
        <v>82080</v>
      </c>
      <c r="P8" s="89">
        <f t="shared" si="2"/>
        <v>86400</v>
      </c>
      <c r="Q8" s="89">
        <f t="shared" si="2"/>
        <v>90720</v>
      </c>
      <c r="R8" s="89">
        <f t="shared" si="2"/>
        <v>95040.00000000001</v>
      </c>
      <c r="S8" s="89">
        <f t="shared" si="2"/>
        <v>99359.99999999999</v>
      </c>
    </row>
    <row r="10" spans="1:20" ht="19.5" customHeight="1">
      <c r="A10" s="90"/>
      <c r="B10" s="83">
        <v>1</v>
      </c>
      <c r="C10" s="83">
        <v>2</v>
      </c>
      <c r="D10" s="83">
        <v>3</v>
      </c>
      <c r="E10" s="83">
        <v>4</v>
      </c>
      <c r="F10" s="83">
        <v>5</v>
      </c>
      <c r="G10" s="83">
        <v>6</v>
      </c>
      <c r="H10" s="83">
        <v>7</v>
      </c>
      <c r="I10" s="83">
        <v>8</v>
      </c>
      <c r="J10" s="83">
        <v>9</v>
      </c>
      <c r="K10" s="83">
        <v>10</v>
      </c>
      <c r="L10" s="83">
        <v>11</v>
      </c>
      <c r="M10" s="83">
        <v>12</v>
      </c>
      <c r="N10" s="83">
        <v>13</v>
      </c>
      <c r="O10" s="83">
        <v>14</v>
      </c>
      <c r="P10" s="83">
        <v>15</v>
      </c>
      <c r="Q10" s="83">
        <v>16</v>
      </c>
      <c r="R10" s="83">
        <v>17</v>
      </c>
      <c r="S10" s="83">
        <v>18</v>
      </c>
      <c r="T10" s="147" t="s">
        <v>152</v>
      </c>
    </row>
    <row r="11" spans="1:20" ht="19.5" customHeight="1">
      <c r="A11" s="87" t="s">
        <v>112</v>
      </c>
      <c r="B11" s="88">
        <f>'[1]FV'!B113</f>
        <v>2518.4392</v>
      </c>
      <c r="C11" s="88">
        <f>'[1]FV'!C113</f>
        <v>1287.5511</v>
      </c>
      <c r="D11" s="88">
        <f>'[1]FV'!D113</f>
        <v>2380.6721500000003</v>
      </c>
      <c r="E11" s="88">
        <f>'[1]FV'!E113</f>
        <v>1270.9812</v>
      </c>
      <c r="F11" s="88">
        <f>'[1]FV'!F113</f>
        <v>1420.34025</v>
      </c>
      <c r="G11" s="88">
        <f>'[1]FV'!G113</f>
        <v>1554.6993000000002</v>
      </c>
      <c r="H11" s="88">
        <f>'[1]FV'!H113</f>
        <v>1670.00835</v>
      </c>
      <c r="I11" s="88">
        <f>'[1]FV'!I113</f>
        <v>1762.2174</v>
      </c>
      <c r="J11" s="88">
        <f>'[1]FV'!J113</f>
        <v>1854.4264500000002</v>
      </c>
      <c r="K11" s="88">
        <f>'[1]FV'!K113</f>
        <v>1946.6355</v>
      </c>
      <c r="L11" s="88">
        <f>'[1]FV'!L113</f>
        <v>2128.39455</v>
      </c>
      <c r="M11" s="88">
        <f>'[1]FV'!M113</f>
        <v>2224.6536</v>
      </c>
      <c r="N11" s="88">
        <f>'[1]FV'!N113</f>
        <v>2353.46265</v>
      </c>
      <c r="O11" s="88">
        <f>'[1]FV'!O113</f>
        <v>2484.9717</v>
      </c>
      <c r="P11" s="88">
        <f>'[1]FV'!P113</f>
        <v>2407.68075</v>
      </c>
      <c r="Q11" s="88">
        <f>'[1]FV'!Q113</f>
        <v>2675.7527999999998</v>
      </c>
      <c r="R11" s="88">
        <f>'[1]FV'!R113</f>
        <v>2774.4486</v>
      </c>
      <c r="S11" s="88">
        <f>'[1]FV'!S113</f>
        <v>4153.7349</v>
      </c>
      <c r="T11" s="148">
        <f>SUM(B11:S11)</f>
        <v>38869.07045000001</v>
      </c>
    </row>
    <row r="12" spans="1:20" ht="19.5" customHeight="1">
      <c r="A12" s="44" t="s">
        <v>99</v>
      </c>
      <c r="B12" s="45">
        <f>'[1]FV'!B123</f>
        <v>2518.4392</v>
      </c>
      <c r="C12" s="45">
        <f>'[1]FV'!C123</f>
        <v>1396.6656</v>
      </c>
      <c r="D12" s="45">
        <f>'[1]FV'!D123</f>
        <v>2661.8539</v>
      </c>
      <c r="E12" s="45">
        <f>'[1]FV'!E123</f>
        <v>1457.8902</v>
      </c>
      <c r="F12" s="45">
        <f>'[1]FV'!F123</f>
        <v>1665.2265000000002</v>
      </c>
      <c r="G12" s="45">
        <f>'[1]FV'!G123</f>
        <v>1857.5628000000002</v>
      </c>
      <c r="H12" s="45">
        <f>'[1]FV'!H123</f>
        <v>2028.5991000000001</v>
      </c>
      <c r="I12" s="45">
        <f>'[1]FV'!I123</f>
        <v>2172.0354</v>
      </c>
      <c r="J12" s="45">
        <f>'[1]FV'!J123</f>
        <v>2315.4717000000005</v>
      </c>
      <c r="K12" s="45">
        <f>'[1]FV'!K123</f>
        <v>2458.9080000000004</v>
      </c>
      <c r="L12" s="45">
        <f>'[1]FV'!L123</f>
        <v>2716.6443000000004</v>
      </c>
      <c r="M12" s="45">
        <f>'[1]FV'!M123</f>
        <v>2866.3806000000004</v>
      </c>
      <c r="N12" s="45">
        <f>'[1]FV'!N123</f>
        <v>3058.4169000000006</v>
      </c>
      <c r="O12" s="45">
        <f>'[1]FV'!O123</f>
        <v>3254.6532</v>
      </c>
      <c r="P12" s="45">
        <f>'[1]FV'!P123</f>
        <v>3176.0895000000005</v>
      </c>
      <c r="Q12" s="45">
        <f>'[1]FV'!Q123</f>
        <v>3553.0488</v>
      </c>
      <c r="R12" s="45">
        <f>'[1]FV'!R123</f>
        <v>3706.5756</v>
      </c>
      <c r="S12" s="45">
        <f>'[1]FV'!S123</f>
        <v>5580.590400000001</v>
      </c>
      <c r="T12" s="149">
        <f>SUM(B12:S12)</f>
        <v>48445.051699999996</v>
      </c>
    </row>
    <row r="13" spans="1:20" ht="19.5" customHeight="1">
      <c r="A13" s="89" t="s">
        <v>100</v>
      </c>
      <c r="B13" s="36">
        <f>'[1]FV'!B133</f>
        <v>2518.4392</v>
      </c>
      <c r="C13" s="36">
        <f>'[1]FV'!C133</f>
        <v>1527.6029999999998</v>
      </c>
      <c r="D13" s="36">
        <f>'[1]FV'!D133</f>
        <v>2999.2720000000004</v>
      </c>
      <c r="E13" s="36">
        <f>'[1]FV'!E133</f>
        <v>1682.1810000000003</v>
      </c>
      <c r="F13" s="36">
        <f>'[1]FV'!F133</f>
        <v>1959.0900000000001</v>
      </c>
      <c r="G13" s="36">
        <f>'[1]FV'!G133</f>
        <v>2220.9990000000003</v>
      </c>
      <c r="H13" s="36">
        <f>'[1]FV'!H133</f>
        <v>2458.9080000000004</v>
      </c>
      <c r="I13" s="36">
        <f>'[1]FV'!I133</f>
        <v>2663.8170000000005</v>
      </c>
      <c r="J13" s="36">
        <f>'[1]FV'!J133</f>
        <v>2868.726</v>
      </c>
      <c r="K13" s="36">
        <f>'[1]FV'!K133</f>
        <v>3073.635</v>
      </c>
      <c r="L13" s="36">
        <f>'[1]FV'!L133</f>
        <v>3422.5440000000003</v>
      </c>
      <c r="M13" s="36">
        <f>'[1]FV'!M133</f>
        <v>3636.4530000000004</v>
      </c>
      <c r="N13" s="36">
        <f>'[1]FV'!N133</f>
        <v>3904.3620000000005</v>
      </c>
      <c r="O13" s="36">
        <f>'[1]FV'!O133</f>
        <v>4178.271000000001</v>
      </c>
      <c r="P13" s="36">
        <f>'[1]FV'!P133</f>
        <v>4098.18</v>
      </c>
      <c r="Q13" s="36">
        <f>'[1]FV'!Q133</f>
        <v>4605.804</v>
      </c>
      <c r="R13" s="36">
        <f>'[1]FV'!R133</f>
        <v>4825.128</v>
      </c>
      <c r="S13" s="36">
        <f>'[1]FV'!S133</f>
        <v>7292.816999999999</v>
      </c>
      <c r="T13" s="150">
        <f>SUM(B13:S13)</f>
        <v>59936.2292</v>
      </c>
    </row>
    <row r="14" spans="1:20" ht="19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9"/>
    </row>
    <row r="15" spans="1:20" ht="19.5" customHeight="1">
      <c r="A15" s="87" t="s">
        <v>113</v>
      </c>
      <c r="B15" s="88">
        <f>('[1]FV'!B56*0.8*B6)/1000</f>
        <v>0</v>
      </c>
      <c r="C15" s="88">
        <f>('[1]FV'!C56*0.8*C6)/1000</f>
        <v>0</v>
      </c>
      <c r="D15" s="88">
        <f>('[1]FV'!D56*0.8*D6)/1000</f>
        <v>0</v>
      </c>
      <c r="E15" s="88">
        <f>('[1]FV'!E56*0.8*E6)/1000</f>
        <v>0</v>
      </c>
      <c r="F15" s="88">
        <f>('[1]FV'!F56*0.8*F6)/1000</f>
        <v>0</v>
      </c>
      <c r="G15" s="88">
        <f>('[1]FV'!G56*0.8*G6)/1000</f>
        <v>0</v>
      </c>
      <c r="H15" s="88">
        <f>('[1]FV'!H56*0.8*H6)/1000</f>
        <v>997.5600000000003</v>
      </c>
      <c r="I15" s="88">
        <f>('[1]FV'!I56*0.8*I6)/1000</f>
        <v>2105.2800000000007</v>
      </c>
      <c r="J15" s="88">
        <f>('[1]FV'!J56*0.8*J6)/1000</f>
        <v>3877.02</v>
      </c>
      <c r="K15" s="88">
        <f>('[1]FV'!K56*0.8*K6)/1000</f>
        <v>6976.8</v>
      </c>
      <c r="L15" s="88">
        <f>('[1]FV'!L56*0.8*L6)/1000</f>
        <v>12787.740000000002</v>
      </c>
      <c r="M15" s="88">
        <f>('[1]FV'!M56*0.8*M6)/1000</f>
        <v>17821.44</v>
      </c>
      <c r="N15" s="88">
        <f>('[1]FV'!N56*0.8*N6)/1000</f>
        <v>3320.1000000000004</v>
      </c>
      <c r="O15" s="88">
        <f>('[1]FV'!O56*0.8*O6)/1000</f>
        <v>26279.279999999995</v>
      </c>
      <c r="P15" s="88">
        <f>('[1]FV'!P56*0.8*P6)/1000</f>
        <v>32359.499999999996</v>
      </c>
      <c r="Q15" s="88">
        <f>('[1]FV'!Q56*0.8*Q6)/1000</f>
        <v>1493.2800000000002</v>
      </c>
      <c r="R15" s="88">
        <f>('[1]FV'!R56*0.8*R6)/1000</f>
        <v>44902.44000000001</v>
      </c>
      <c r="S15" s="88">
        <f>('[1]FV'!S56*0.8*S6)/1000</f>
        <v>48103.2</v>
      </c>
      <c r="T15" s="148">
        <f>SUM(B15:S15)</f>
        <v>201023.64</v>
      </c>
    </row>
    <row r="16" spans="1:20" ht="19.5" customHeight="1">
      <c r="A16" s="44" t="s">
        <v>105</v>
      </c>
      <c r="B16" s="45">
        <f>('[1]FV'!B56*0.8*B7)/1000</f>
        <v>0</v>
      </c>
      <c r="C16" s="45">
        <f>('[1]FV'!C56*0.8*C7)/1000</f>
        <v>0</v>
      </c>
      <c r="D16" s="45">
        <f>('[1]FV'!D56*0.8*D7)/1000</f>
        <v>0</v>
      </c>
      <c r="E16" s="45">
        <f>('[1]FV'!E56*0.8*E7)/1000</f>
        <v>0</v>
      </c>
      <c r="F16" s="45">
        <f>('[1]FV'!F56*0.8*F7)/1000</f>
        <v>0</v>
      </c>
      <c r="G16" s="45">
        <f>('[1]FV'!G56*0.8*G7)/1000</f>
        <v>0</v>
      </c>
      <c r="H16" s="45">
        <f>('[1]FV'!H56*0.8*H7)/1000</f>
        <v>1211.7600000000002</v>
      </c>
      <c r="I16" s="45">
        <f>('[1]FV'!I56*0.8*I7)/1000</f>
        <v>2594.8800000000006</v>
      </c>
      <c r="J16" s="45">
        <f>('[1]FV'!J56*0.8*J7)/1000</f>
        <v>4840.920000000001</v>
      </c>
      <c r="K16" s="45">
        <f>('[1]FV'!K56*0.8*K7)/1000</f>
        <v>8812.800000000001</v>
      </c>
      <c r="L16" s="45">
        <f>('[1]FV'!L56*0.8*L7)/1000</f>
        <v>16322.040000000005</v>
      </c>
      <c r="M16" s="45">
        <f>('[1]FV'!M56*0.8*M7)/1000</f>
        <v>22962.24</v>
      </c>
      <c r="N16" s="45">
        <f>('[1]FV'!N56*0.8*N7)/1000</f>
        <v>4314.600000000001</v>
      </c>
      <c r="O16" s="45">
        <f>('[1]FV'!O56*0.8*O7)/1000</f>
        <v>34418.88</v>
      </c>
      <c r="P16" s="45">
        <f>('[1]FV'!P56*0.8*P7)/1000</f>
        <v>42687</v>
      </c>
      <c r="Q16" s="45">
        <f>('[1]FV'!Q56*0.8*Q7)/1000</f>
        <v>1982.8800000000006</v>
      </c>
      <c r="R16" s="45">
        <f>('[1]FV'!R56*0.8*R7)/1000</f>
        <v>59988.240000000005</v>
      </c>
      <c r="S16" s="45">
        <f>('[1]FV'!S56*0.8*S7)/1000</f>
        <v>64627.20000000001</v>
      </c>
      <c r="T16" s="149">
        <f>SUM(B16:S16)</f>
        <v>264763.44</v>
      </c>
    </row>
    <row r="17" spans="1:20" ht="19.5" customHeight="1">
      <c r="A17" s="89" t="s">
        <v>106</v>
      </c>
      <c r="B17" s="36">
        <f>('[1]FV'!B56*0.8*B8)/1000</f>
        <v>0</v>
      </c>
      <c r="C17" s="36">
        <f>('[1]FV'!C56*0.8*C8)/1000</f>
        <v>0</v>
      </c>
      <c r="D17" s="36">
        <f>('[1]FV'!D56*0.8*D8)/1000</f>
        <v>0</v>
      </c>
      <c r="E17" s="36">
        <f>('[1]FV'!E56*0.8*E8)/1000</f>
        <v>0</v>
      </c>
      <c r="F17" s="36">
        <f>('[1]FV'!F56*0.8*F8)/1000</f>
        <v>0</v>
      </c>
      <c r="G17" s="36">
        <f>('[1]FV'!G56*0.8*G8)/1000</f>
        <v>0</v>
      </c>
      <c r="H17" s="36">
        <f>('[1]FV'!H56*0.8*H8)/1000</f>
        <v>1468.8000000000004</v>
      </c>
      <c r="I17" s="36">
        <f>('[1]FV'!I56*0.8*I8)/1000</f>
        <v>3182.4000000000005</v>
      </c>
      <c r="J17" s="36">
        <f>('[1]FV'!J56*0.8*J8)/1000</f>
        <v>5997.6</v>
      </c>
      <c r="K17" s="36">
        <f>('[1]FV'!K56*0.8*K8)/1000</f>
        <v>11016</v>
      </c>
      <c r="L17" s="36">
        <f>('[1]FV'!L56*0.8*L8)/1000</f>
        <v>20563.200000000004</v>
      </c>
      <c r="M17" s="36">
        <f>('[1]FV'!M56*0.8*M8)/1000</f>
        <v>29131.200000000008</v>
      </c>
      <c r="N17" s="36">
        <f>('[1]FV'!N56*0.8*N8)/1000</f>
        <v>5508.000000000001</v>
      </c>
      <c r="O17" s="36">
        <f>('[1]FV'!O56*0.8*O8)/1000</f>
        <v>44186.4</v>
      </c>
      <c r="P17" s="36">
        <f>('[1]FV'!P56*0.8*P8)/1000</f>
        <v>55080</v>
      </c>
      <c r="Q17" s="36">
        <f>('[1]FV'!Q56*0.8*Q8)/1000</f>
        <v>2570.4000000000005</v>
      </c>
      <c r="R17" s="36">
        <f>('[1]FV'!R56*0.8*R8)/1000</f>
        <v>78091.20000000001</v>
      </c>
      <c r="S17" s="36">
        <f>('[1]FV'!S56*0.8*S8)/1000</f>
        <v>84455.99999999999</v>
      </c>
      <c r="T17" s="150">
        <f>SUM(B17:S17)</f>
        <v>341251.2</v>
      </c>
    </row>
    <row r="18" spans="1:20" ht="19.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149"/>
    </row>
    <row r="19" spans="1:21" ht="14.25">
      <c r="A19" s="87" t="s">
        <v>147</v>
      </c>
      <c r="B19" s="88">
        <f aca="true" t="shared" si="3" ref="B19:R21">B15-B11</f>
        <v>-2518.4392</v>
      </c>
      <c r="C19" s="88">
        <f t="shared" si="3"/>
        <v>-1287.5511</v>
      </c>
      <c r="D19" s="88">
        <f t="shared" si="3"/>
        <v>-2380.6721500000003</v>
      </c>
      <c r="E19" s="88">
        <f t="shared" si="3"/>
        <v>-1270.9812</v>
      </c>
      <c r="F19" s="88">
        <f t="shared" si="3"/>
        <v>-1420.34025</v>
      </c>
      <c r="G19" s="88">
        <f t="shared" si="3"/>
        <v>-1554.6993000000002</v>
      </c>
      <c r="H19" s="88">
        <f t="shared" si="3"/>
        <v>-672.4483499999998</v>
      </c>
      <c r="I19" s="92">
        <f t="shared" si="3"/>
        <v>343.06260000000066</v>
      </c>
      <c r="J19" s="88">
        <f t="shared" si="3"/>
        <v>2022.5935499999998</v>
      </c>
      <c r="K19" s="88">
        <f t="shared" si="3"/>
        <v>5030.1645</v>
      </c>
      <c r="L19" s="88">
        <f t="shared" si="3"/>
        <v>10659.34545</v>
      </c>
      <c r="M19" s="88">
        <f t="shared" si="3"/>
        <v>15596.786399999999</v>
      </c>
      <c r="N19" s="88">
        <f t="shared" si="3"/>
        <v>966.6373500000004</v>
      </c>
      <c r="O19" s="88">
        <f t="shared" si="3"/>
        <v>23794.308299999997</v>
      </c>
      <c r="P19" s="88">
        <f t="shared" si="3"/>
        <v>29951.819249999997</v>
      </c>
      <c r="Q19" s="88">
        <f t="shared" si="3"/>
        <v>-1182.4727999999996</v>
      </c>
      <c r="R19" s="88">
        <f t="shared" si="3"/>
        <v>42127.991400000006</v>
      </c>
      <c r="S19" s="88">
        <f>S15-S11</f>
        <v>43949.465099999994</v>
      </c>
      <c r="T19" s="148">
        <f>SUM(B19:S19)</f>
        <v>162154.56955000001</v>
      </c>
      <c r="U19" s="40"/>
    </row>
    <row r="20" spans="1:21" ht="14.25">
      <c r="A20" s="44" t="s">
        <v>148</v>
      </c>
      <c r="B20" s="45">
        <f t="shared" si="3"/>
        <v>-2518.4392</v>
      </c>
      <c r="C20" s="45">
        <f t="shared" si="3"/>
        <v>-1396.6656</v>
      </c>
      <c r="D20" s="45">
        <f t="shared" si="3"/>
        <v>-2661.8539</v>
      </c>
      <c r="E20" s="45">
        <f t="shared" si="3"/>
        <v>-1457.8902</v>
      </c>
      <c r="F20" s="45">
        <f t="shared" si="3"/>
        <v>-1665.2265000000002</v>
      </c>
      <c r="G20" s="45">
        <f t="shared" si="3"/>
        <v>-1857.5628000000002</v>
      </c>
      <c r="H20" s="45">
        <f t="shared" si="3"/>
        <v>-816.8390999999999</v>
      </c>
      <c r="I20" s="93">
        <f t="shared" si="3"/>
        <v>422.84460000000036</v>
      </c>
      <c r="J20" s="45">
        <f t="shared" si="3"/>
        <v>2525.4483000000005</v>
      </c>
      <c r="K20" s="45">
        <f t="shared" si="3"/>
        <v>6353.892000000001</v>
      </c>
      <c r="L20" s="45">
        <f t="shared" si="3"/>
        <v>13605.395700000005</v>
      </c>
      <c r="M20" s="45">
        <f t="shared" si="3"/>
        <v>20095.8594</v>
      </c>
      <c r="N20" s="45">
        <f t="shared" si="3"/>
        <v>1256.1831000000006</v>
      </c>
      <c r="O20" s="45">
        <f t="shared" si="3"/>
        <v>31164.226799999997</v>
      </c>
      <c r="P20" s="45">
        <f t="shared" si="3"/>
        <v>39510.9105</v>
      </c>
      <c r="Q20" s="45">
        <f t="shared" si="3"/>
        <v>-1570.1687999999995</v>
      </c>
      <c r="R20" s="45">
        <f t="shared" si="3"/>
        <v>56281.66440000001</v>
      </c>
      <c r="S20" s="45">
        <f>S16-S12</f>
        <v>59046.60960000001</v>
      </c>
      <c r="T20" s="149">
        <f>SUM(B20:S20)</f>
        <v>216318.38830000005</v>
      </c>
      <c r="U20" s="40"/>
    </row>
    <row r="21" spans="1:21" ht="14.25">
      <c r="A21" s="89" t="s">
        <v>149</v>
      </c>
      <c r="B21" s="36">
        <f t="shared" si="3"/>
        <v>-2518.4392</v>
      </c>
      <c r="C21" s="36">
        <f t="shared" si="3"/>
        <v>-1527.6029999999998</v>
      </c>
      <c r="D21" s="36">
        <f t="shared" si="3"/>
        <v>-2999.2720000000004</v>
      </c>
      <c r="E21" s="36">
        <f t="shared" si="3"/>
        <v>-1682.1810000000003</v>
      </c>
      <c r="F21" s="36">
        <f t="shared" si="3"/>
        <v>-1959.0900000000001</v>
      </c>
      <c r="G21" s="36">
        <f t="shared" si="3"/>
        <v>-2220.9990000000003</v>
      </c>
      <c r="H21" s="36">
        <f t="shared" si="3"/>
        <v>-990.108</v>
      </c>
      <c r="I21" s="94">
        <f t="shared" si="3"/>
        <v>518.5830000000001</v>
      </c>
      <c r="J21" s="36">
        <f t="shared" si="3"/>
        <v>3128.8740000000003</v>
      </c>
      <c r="K21" s="36">
        <f t="shared" si="3"/>
        <v>7942.365</v>
      </c>
      <c r="L21" s="36">
        <f t="shared" si="3"/>
        <v>17140.656000000003</v>
      </c>
      <c r="M21" s="36">
        <f t="shared" si="3"/>
        <v>25494.747000000007</v>
      </c>
      <c r="N21" s="36">
        <f t="shared" si="3"/>
        <v>1603.6380000000004</v>
      </c>
      <c r="O21" s="36">
        <f t="shared" si="3"/>
        <v>40008.129</v>
      </c>
      <c r="P21" s="36">
        <f t="shared" si="3"/>
        <v>50981.82</v>
      </c>
      <c r="Q21" s="36">
        <f t="shared" si="3"/>
        <v>-2035.4039999999995</v>
      </c>
      <c r="R21" s="36">
        <f t="shared" si="3"/>
        <v>73266.07200000001</v>
      </c>
      <c r="S21" s="36">
        <f>S17-S13</f>
        <v>77163.18299999999</v>
      </c>
      <c r="T21" s="150">
        <f>SUM(B21:S21)</f>
        <v>281314.9708</v>
      </c>
      <c r="U21" s="40"/>
    </row>
    <row r="22" spans="1:20" ht="14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151"/>
    </row>
    <row r="23" spans="1:20" ht="14.25">
      <c r="A23" s="104" t="s">
        <v>150</v>
      </c>
      <c r="B23" s="83">
        <v>1</v>
      </c>
      <c r="C23" s="83">
        <v>2</v>
      </c>
      <c r="D23" s="83">
        <v>3</v>
      </c>
      <c r="E23" s="83">
        <v>4</v>
      </c>
      <c r="F23" s="83">
        <v>5</v>
      </c>
      <c r="G23" s="83">
        <v>6</v>
      </c>
      <c r="H23" s="83">
        <v>7</v>
      </c>
      <c r="I23" s="83">
        <v>8</v>
      </c>
      <c r="J23" s="83">
        <v>9</v>
      </c>
      <c r="K23" s="83">
        <v>10</v>
      </c>
      <c r="L23" s="83">
        <v>11</v>
      </c>
      <c r="M23" s="83">
        <v>12</v>
      </c>
      <c r="N23" s="83">
        <v>13</v>
      </c>
      <c r="O23" s="83">
        <v>14</v>
      </c>
      <c r="P23" s="83">
        <v>15</v>
      </c>
      <c r="Q23" s="83">
        <v>16</v>
      </c>
      <c r="R23" s="83">
        <v>17</v>
      </c>
      <c r="S23" s="83">
        <v>18</v>
      </c>
      <c r="T23" s="152" t="s">
        <v>152</v>
      </c>
    </row>
    <row r="24" spans="1:20" ht="14.25">
      <c r="A24" s="87" t="s">
        <v>153</v>
      </c>
      <c r="B24" s="88">
        <f>B19/B11*100</f>
        <v>-100</v>
      </c>
      <c r="C24" s="88">
        <f aca="true" t="shared" si="4" ref="C24:T26">C19/C11*100</f>
        <v>-100</v>
      </c>
      <c r="D24" s="88">
        <f t="shared" si="4"/>
        <v>-100</v>
      </c>
      <c r="E24" s="88">
        <f t="shared" si="4"/>
        <v>-100</v>
      </c>
      <c r="F24" s="88">
        <f t="shared" si="4"/>
        <v>-100</v>
      </c>
      <c r="G24" s="88">
        <f t="shared" si="4"/>
        <v>-100</v>
      </c>
      <c r="H24" s="88">
        <f t="shared" si="4"/>
        <v>-40.26616693263838</v>
      </c>
      <c r="I24" s="88">
        <f t="shared" si="4"/>
        <v>19.467666134723256</v>
      </c>
      <c r="J24" s="88">
        <f t="shared" si="4"/>
        <v>109.06841573576563</v>
      </c>
      <c r="K24" s="88">
        <f t="shared" si="4"/>
        <v>258.40299840416964</v>
      </c>
      <c r="L24" s="88">
        <f t="shared" si="4"/>
        <v>500.8162349410264</v>
      </c>
      <c r="M24" s="88">
        <f t="shared" si="4"/>
        <v>701.0883132547017</v>
      </c>
      <c r="N24" s="88">
        <f t="shared" si="4"/>
        <v>41.072984523463774</v>
      </c>
      <c r="O24" s="88">
        <f t="shared" si="4"/>
        <v>957.5283412684336</v>
      </c>
      <c r="P24" s="88">
        <f t="shared" si="4"/>
        <v>1244.011244015636</v>
      </c>
      <c r="Q24" s="88">
        <f t="shared" si="4"/>
        <v>-44.192154073425606</v>
      </c>
      <c r="R24" s="88">
        <f t="shared" si="4"/>
        <v>1518.4275318706573</v>
      </c>
      <c r="S24" s="88">
        <f t="shared" si="4"/>
        <v>1058.0710170020718</v>
      </c>
      <c r="T24" s="148">
        <f t="shared" si="4"/>
        <v>417.18149591097307</v>
      </c>
    </row>
    <row r="25" spans="1:20" ht="14.25">
      <c r="A25" s="44" t="s">
        <v>154</v>
      </c>
      <c r="B25" s="45">
        <f>B20/B12*100</f>
        <v>-100</v>
      </c>
      <c r="C25" s="45">
        <f>C20/C12*100</f>
        <v>-100</v>
      </c>
      <c r="D25" s="45">
        <f t="shared" si="4"/>
        <v>-100</v>
      </c>
      <c r="E25" s="45">
        <f t="shared" si="4"/>
        <v>-100</v>
      </c>
      <c r="F25" s="45">
        <f t="shared" si="4"/>
        <v>-100</v>
      </c>
      <c r="G25" s="45">
        <f t="shared" si="4"/>
        <v>-100</v>
      </c>
      <c r="H25" s="45">
        <f t="shared" si="4"/>
        <v>-40.266166932638384</v>
      </c>
      <c r="I25" s="45">
        <f t="shared" si="4"/>
        <v>19.46766613472323</v>
      </c>
      <c r="J25" s="45">
        <f t="shared" si="4"/>
        <v>109.06841573576563</v>
      </c>
      <c r="K25" s="45">
        <f t="shared" si="4"/>
        <v>258.4029984041697</v>
      </c>
      <c r="L25" s="45">
        <f t="shared" si="4"/>
        <v>500.8162349410264</v>
      </c>
      <c r="M25" s="45">
        <f t="shared" si="4"/>
        <v>701.0883132547017</v>
      </c>
      <c r="N25" s="45">
        <f t="shared" si="4"/>
        <v>41.07298452346377</v>
      </c>
      <c r="O25" s="45">
        <f t="shared" si="4"/>
        <v>957.5283412684336</v>
      </c>
      <c r="P25" s="45">
        <f t="shared" si="4"/>
        <v>1244.011244015636</v>
      </c>
      <c r="Q25" s="45">
        <f t="shared" si="4"/>
        <v>-44.1921540734256</v>
      </c>
      <c r="R25" s="45">
        <f t="shared" si="4"/>
        <v>1518.4275318706573</v>
      </c>
      <c r="S25" s="45">
        <f t="shared" si="4"/>
        <v>1058.071017002072</v>
      </c>
      <c r="T25" s="149">
        <f t="shared" si="4"/>
        <v>446.52318597897187</v>
      </c>
    </row>
    <row r="26" spans="1:20" ht="14.25">
      <c r="A26" s="89" t="s">
        <v>155</v>
      </c>
      <c r="B26" s="36">
        <f>B21/B13*100</f>
        <v>-100</v>
      </c>
      <c r="C26" s="36">
        <f>C21/C13*100</f>
        <v>-100</v>
      </c>
      <c r="D26" s="36">
        <f t="shared" si="4"/>
        <v>-100</v>
      </c>
      <c r="E26" s="36">
        <f t="shared" si="4"/>
        <v>-100</v>
      </c>
      <c r="F26" s="36">
        <f t="shared" si="4"/>
        <v>-100</v>
      </c>
      <c r="G26" s="36">
        <f t="shared" si="4"/>
        <v>-100</v>
      </c>
      <c r="H26" s="36">
        <f t="shared" si="4"/>
        <v>-40.266166932638384</v>
      </c>
      <c r="I26" s="36">
        <f t="shared" si="4"/>
        <v>19.46766613472322</v>
      </c>
      <c r="J26" s="36">
        <f t="shared" si="4"/>
        <v>109.06841573576564</v>
      </c>
      <c r="K26" s="36">
        <f t="shared" si="4"/>
        <v>258.40299840416964</v>
      </c>
      <c r="L26" s="36">
        <f t="shared" si="4"/>
        <v>500.8162349410264</v>
      </c>
      <c r="M26" s="36">
        <f t="shared" si="4"/>
        <v>701.0883132547018</v>
      </c>
      <c r="N26" s="36">
        <f t="shared" si="4"/>
        <v>41.07298452346376</v>
      </c>
      <c r="O26" s="36">
        <f t="shared" si="4"/>
        <v>957.5283412684337</v>
      </c>
      <c r="P26" s="36">
        <f t="shared" si="4"/>
        <v>1244.011244015636</v>
      </c>
      <c r="Q26" s="36">
        <f t="shared" si="4"/>
        <v>-44.192154073425606</v>
      </c>
      <c r="R26" s="36">
        <f t="shared" si="4"/>
        <v>1518.4275318706575</v>
      </c>
      <c r="S26" s="36">
        <f t="shared" si="4"/>
        <v>1058.071017002072</v>
      </c>
      <c r="T26" s="150">
        <f t="shared" si="4"/>
        <v>469.3571393376879</v>
      </c>
    </row>
    <row r="27" spans="1:20" ht="14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149"/>
    </row>
    <row r="28" spans="1:20" ht="14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4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ht="14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1:20" ht="14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 ht="14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ht="14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ht="14.25">
      <c r="C34" s="91"/>
    </row>
    <row r="35" ht="14.25">
      <c r="C35" s="91"/>
    </row>
    <row r="36" ht="14.25">
      <c r="C36" s="9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qudrat</dc:creator>
  <cp:keywords/>
  <dc:description/>
  <cp:lastModifiedBy>Inna Rudenko</cp:lastModifiedBy>
  <cp:lastPrinted>2010-12-23T04:33:21Z</cp:lastPrinted>
  <dcterms:created xsi:type="dcterms:W3CDTF">2010-11-24T11:16:26Z</dcterms:created>
  <dcterms:modified xsi:type="dcterms:W3CDTF">2010-12-23T05:59:46Z</dcterms:modified>
  <cp:category/>
  <cp:version/>
  <cp:contentType/>
  <cp:contentStatus/>
</cp:coreProperties>
</file>