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-440" windowWidth="28800" windowHeight="18000"/>
  </bookViews>
  <sheets>
    <sheet name="описание" sheetId="11" r:id="rId1"/>
    <sheet name="параметры" sheetId="2" r:id="rId2"/>
    <sheet name="6х6" sheetId="1" r:id="rId3"/>
    <sheet name="10х10" sheetId="7" r:id="rId4"/>
    <sheet name="свод 6х6" sheetId="4" r:id="rId5"/>
    <sheet name="свод 10х10" sheetId="10" r:id="rId6"/>
    <sheet name="затраты культуры междурядье" sheetId="8" r:id="rId7"/>
    <sheet name="урожайность" sheetId="9" r:id="rId8"/>
    <sheet name="финплан" sheetId="3" r:id="rId9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2" i="3" l="1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6" i="3"/>
  <c r="C15" i="3"/>
  <c r="C25" i="3"/>
  <c r="C45" i="3"/>
  <c r="C11" i="3"/>
  <c r="C21" i="3"/>
  <c r="C31" i="3"/>
  <c r="C51" i="3"/>
  <c r="C52" i="3"/>
  <c r="C32" i="3"/>
  <c r="C72" i="3"/>
  <c r="C16" i="3"/>
  <c r="C26" i="3"/>
  <c r="C46" i="3"/>
  <c r="F2" i="3"/>
  <c r="D6" i="3"/>
  <c r="D16" i="3"/>
  <c r="D26" i="3"/>
  <c r="D46" i="3"/>
  <c r="E6" i="3"/>
  <c r="E16" i="3"/>
  <c r="E26" i="3"/>
  <c r="E46" i="3"/>
  <c r="F6" i="3"/>
  <c r="F16" i="3"/>
  <c r="F26" i="3"/>
  <c r="F46" i="3"/>
  <c r="G6" i="3"/>
  <c r="G16" i="3"/>
  <c r="G26" i="3"/>
  <c r="G46" i="3"/>
  <c r="H6" i="3"/>
  <c r="H16" i="3"/>
  <c r="H26" i="3"/>
  <c r="H46" i="3"/>
  <c r="I6" i="3"/>
  <c r="I16" i="3"/>
  <c r="I26" i="3"/>
  <c r="I46" i="3"/>
  <c r="J6" i="3"/>
  <c r="J16" i="3"/>
  <c r="J26" i="3"/>
  <c r="J46" i="3"/>
  <c r="K6" i="3"/>
  <c r="K16" i="3"/>
  <c r="K26" i="3"/>
  <c r="K46" i="3"/>
  <c r="L6" i="3"/>
  <c r="L16" i="3"/>
  <c r="L26" i="3"/>
  <c r="L46" i="3"/>
  <c r="M6" i="3"/>
  <c r="M16" i="3"/>
  <c r="M26" i="3"/>
  <c r="M46" i="3"/>
  <c r="N6" i="3"/>
  <c r="N16" i="3"/>
  <c r="N26" i="3"/>
  <c r="N46" i="3"/>
  <c r="O6" i="3"/>
  <c r="O16" i="3"/>
  <c r="O26" i="3"/>
  <c r="O46" i="3"/>
  <c r="P6" i="3"/>
  <c r="P16" i="3"/>
  <c r="P26" i="3"/>
  <c r="P46" i="3"/>
  <c r="Q6" i="3"/>
  <c r="Q16" i="3"/>
  <c r="Q26" i="3"/>
  <c r="Q46" i="3"/>
  <c r="R6" i="3"/>
  <c r="R16" i="3"/>
  <c r="R26" i="3"/>
  <c r="R46" i="3"/>
  <c r="S6" i="3"/>
  <c r="S16" i="3"/>
  <c r="S26" i="3"/>
  <c r="S46" i="3"/>
  <c r="T6" i="3"/>
  <c r="T16" i="3"/>
  <c r="T26" i="3"/>
  <c r="T46" i="3"/>
  <c r="U46" i="3"/>
  <c r="D11" i="3"/>
  <c r="D21" i="3"/>
  <c r="D51" i="3"/>
  <c r="E11" i="3"/>
  <c r="E21" i="3"/>
  <c r="E51" i="3"/>
  <c r="F11" i="3"/>
  <c r="F21" i="3"/>
  <c r="F31" i="3"/>
  <c r="F51" i="3"/>
  <c r="G11" i="3"/>
  <c r="G21" i="3"/>
  <c r="G31" i="3"/>
  <c r="G51" i="3"/>
  <c r="H11" i="3"/>
  <c r="H21" i="3"/>
  <c r="H31" i="3"/>
  <c r="H51" i="3"/>
  <c r="I11" i="3"/>
  <c r="I21" i="3"/>
  <c r="I31" i="3"/>
  <c r="I51" i="3"/>
  <c r="J11" i="3"/>
  <c r="J21" i="3"/>
  <c r="J31" i="3"/>
  <c r="J51" i="3"/>
  <c r="K11" i="3"/>
  <c r="K21" i="3"/>
  <c r="K31" i="3"/>
  <c r="K51" i="3"/>
  <c r="L11" i="3"/>
  <c r="L21" i="3"/>
  <c r="L31" i="3"/>
  <c r="L51" i="3"/>
  <c r="M11" i="3"/>
  <c r="M21" i="3"/>
  <c r="M31" i="3"/>
  <c r="M51" i="3"/>
  <c r="N11" i="3"/>
  <c r="N21" i="3"/>
  <c r="N31" i="3"/>
  <c r="N51" i="3"/>
  <c r="O11" i="3"/>
  <c r="O21" i="3"/>
  <c r="O31" i="3"/>
  <c r="O51" i="3"/>
  <c r="P11" i="3"/>
  <c r="P21" i="3"/>
  <c r="P31" i="3"/>
  <c r="P51" i="3"/>
  <c r="Q11" i="3"/>
  <c r="Q21" i="3"/>
  <c r="Q31" i="3"/>
  <c r="Q51" i="3"/>
  <c r="R11" i="3"/>
  <c r="R21" i="3"/>
  <c r="R31" i="3"/>
  <c r="R51" i="3"/>
  <c r="S11" i="3"/>
  <c r="S21" i="3"/>
  <c r="S31" i="3"/>
  <c r="S51" i="3"/>
  <c r="T11" i="3"/>
  <c r="T21" i="3"/>
  <c r="T31" i="3"/>
  <c r="T51" i="3"/>
  <c r="U51" i="3"/>
  <c r="U57" i="3"/>
  <c r="U26" i="3"/>
  <c r="U31" i="3"/>
  <c r="U37" i="3"/>
  <c r="U77" i="3"/>
  <c r="T57" i="3"/>
  <c r="T37" i="3"/>
  <c r="T77" i="3"/>
  <c r="S57" i="3"/>
  <c r="S37" i="3"/>
  <c r="S77" i="3"/>
  <c r="R57" i="3"/>
  <c r="R37" i="3"/>
  <c r="R77" i="3"/>
  <c r="Q57" i="3"/>
  <c r="Q37" i="3"/>
  <c r="Q77" i="3"/>
  <c r="P57" i="3"/>
  <c r="P37" i="3"/>
  <c r="P77" i="3"/>
  <c r="O57" i="3"/>
  <c r="O37" i="3"/>
  <c r="O77" i="3"/>
  <c r="N57" i="3"/>
  <c r="N37" i="3"/>
  <c r="N77" i="3"/>
  <c r="M57" i="3"/>
  <c r="M37" i="3"/>
  <c r="M77" i="3"/>
  <c r="L57" i="3"/>
  <c r="L37" i="3"/>
  <c r="L77" i="3"/>
  <c r="K57" i="3"/>
  <c r="K37" i="3"/>
  <c r="K77" i="3"/>
  <c r="J57" i="3"/>
  <c r="J37" i="3"/>
  <c r="J77" i="3"/>
  <c r="I57" i="3"/>
  <c r="I37" i="3"/>
  <c r="I77" i="3"/>
  <c r="H57" i="3"/>
  <c r="H37" i="3"/>
  <c r="H77" i="3"/>
  <c r="G57" i="3"/>
  <c r="G37" i="3"/>
  <c r="G77" i="3"/>
  <c r="F57" i="3"/>
  <c r="F37" i="3"/>
  <c r="F77" i="3"/>
  <c r="E57" i="3"/>
  <c r="E37" i="3"/>
  <c r="E77" i="3"/>
  <c r="D57" i="3"/>
  <c r="D37" i="3"/>
  <c r="D77" i="3"/>
  <c r="C57" i="3"/>
  <c r="C37" i="3"/>
  <c r="C77" i="3"/>
  <c r="D15" i="3"/>
  <c r="D25" i="3"/>
  <c r="D45" i="3"/>
  <c r="E15" i="3"/>
  <c r="E25" i="3"/>
  <c r="E45" i="3"/>
  <c r="F15" i="3"/>
  <c r="F25" i="3"/>
  <c r="F45" i="3"/>
  <c r="G15" i="3"/>
  <c r="G25" i="3"/>
  <c r="G45" i="3"/>
  <c r="H15" i="3"/>
  <c r="H25" i="3"/>
  <c r="H45" i="3"/>
  <c r="I15" i="3"/>
  <c r="I25" i="3"/>
  <c r="I45" i="3"/>
  <c r="J15" i="3"/>
  <c r="J25" i="3"/>
  <c r="J45" i="3"/>
  <c r="K15" i="3"/>
  <c r="K25" i="3"/>
  <c r="K45" i="3"/>
  <c r="L15" i="3"/>
  <c r="L25" i="3"/>
  <c r="L45" i="3"/>
  <c r="M15" i="3"/>
  <c r="M25" i="3"/>
  <c r="M45" i="3"/>
  <c r="N15" i="3"/>
  <c r="N25" i="3"/>
  <c r="N45" i="3"/>
  <c r="O15" i="3"/>
  <c r="O25" i="3"/>
  <c r="O45" i="3"/>
  <c r="P15" i="3"/>
  <c r="P25" i="3"/>
  <c r="P45" i="3"/>
  <c r="Q15" i="3"/>
  <c r="Q25" i="3"/>
  <c r="Q45" i="3"/>
  <c r="R15" i="3"/>
  <c r="R25" i="3"/>
  <c r="R45" i="3"/>
  <c r="S15" i="3"/>
  <c r="S25" i="3"/>
  <c r="S45" i="3"/>
  <c r="T15" i="3"/>
  <c r="T25" i="3"/>
  <c r="T45" i="3"/>
  <c r="U45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U25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T34" i="10"/>
  <c r="S34" i="10"/>
  <c r="R34" i="10"/>
  <c r="P34" i="10"/>
  <c r="O34" i="10"/>
  <c r="N34" i="10"/>
  <c r="M34" i="10"/>
  <c r="L34" i="10"/>
  <c r="T34" i="4"/>
  <c r="S34" i="4"/>
  <c r="R34" i="4"/>
  <c r="P34" i="4"/>
  <c r="O34" i="4"/>
  <c r="N34" i="4"/>
  <c r="M34" i="4"/>
  <c r="L34" i="4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C17" i="4"/>
  <c r="F20" i="8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T27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9" i="10"/>
  <c r="E27" i="10"/>
  <c r="E31" i="10"/>
  <c r="E32" i="10"/>
  <c r="E33" i="10"/>
  <c r="D25" i="10"/>
  <c r="D26" i="10"/>
  <c r="D22" i="10"/>
  <c r="D28" i="10"/>
  <c r="D29" i="10"/>
  <c r="D30" i="10"/>
  <c r="D27" i="10"/>
  <c r="D33" i="10"/>
  <c r="H7" i="9"/>
  <c r="C5" i="10"/>
  <c r="C6" i="10"/>
  <c r="C4" i="10"/>
  <c r="C8" i="10"/>
  <c r="C9" i="10"/>
  <c r="C7" i="10"/>
  <c r="C11" i="10"/>
  <c r="C12" i="10"/>
  <c r="C10" i="10"/>
  <c r="C14" i="10"/>
  <c r="C15" i="10"/>
  <c r="C16" i="10"/>
  <c r="C17" i="10"/>
  <c r="C18" i="10"/>
  <c r="C13" i="10"/>
  <c r="C20" i="10"/>
  <c r="C21" i="10"/>
  <c r="C19" i="10"/>
  <c r="C23" i="10"/>
  <c r="C24" i="10"/>
  <c r="C22" i="10"/>
  <c r="C28" i="10"/>
  <c r="C29" i="10"/>
  <c r="C30" i="10"/>
  <c r="C27" i="10"/>
  <c r="C33" i="10"/>
  <c r="C10" i="3"/>
  <c r="C20" i="3"/>
  <c r="C30" i="3"/>
  <c r="C50" i="3"/>
  <c r="D10" i="3"/>
  <c r="D20" i="3"/>
  <c r="D30" i="3"/>
  <c r="D50" i="3"/>
  <c r="E10" i="3"/>
  <c r="E20" i="3"/>
  <c r="E30" i="3"/>
  <c r="E50" i="3"/>
  <c r="F10" i="3"/>
  <c r="F20" i="3"/>
  <c r="F30" i="3"/>
  <c r="F50" i="3"/>
  <c r="G10" i="3"/>
  <c r="G20" i="3"/>
  <c r="G30" i="3"/>
  <c r="G50" i="3"/>
  <c r="H10" i="3"/>
  <c r="H20" i="3"/>
  <c r="H30" i="3"/>
  <c r="H50" i="3"/>
  <c r="I10" i="3"/>
  <c r="I20" i="3"/>
  <c r="I30" i="3"/>
  <c r="I50" i="3"/>
  <c r="J10" i="3"/>
  <c r="J20" i="3"/>
  <c r="J30" i="3"/>
  <c r="J50" i="3"/>
  <c r="K10" i="3"/>
  <c r="K20" i="3"/>
  <c r="K30" i="3"/>
  <c r="K50" i="3"/>
  <c r="L10" i="3"/>
  <c r="L20" i="3"/>
  <c r="L30" i="3"/>
  <c r="L50" i="3"/>
  <c r="U50" i="3"/>
  <c r="U61" i="3"/>
  <c r="M30" i="3"/>
  <c r="N30" i="3"/>
  <c r="O30" i="3"/>
  <c r="P30" i="3"/>
  <c r="Q30" i="3"/>
  <c r="R30" i="3"/>
  <c r="S30" i="3"/>
  <c r="T30" i="3"/>
  <c r="U30" i="3"/>
  <c r="U41" i="3"/>
  <c r="U81" i="3"/>
  <c r="T61" i="3"/>
  <c r="T41" i="3"/>
  <c r="T81" i="3"/>
  <c r="S61" i="3"/>
  <c r="S41" i="3"/>
  <c r="S81" i="3"/>
  <c r="R61" i="3"/>
  <c r="R41" i="3"/>
  <c r="R81" i="3"/>
  <c r="Q61" i="3"/>
  <c r="Q41" i="3"/>
  <c r="Q81" i="3"/>
  <c r="P61" i="3"/>
  <c r="P41" i="3"/>
  <c r="P81" i="3"/>
  <c r="O61" i="3"/>
  <c r="O41" i="3"/>
  <c r="O81" i="3"/>
  <c r="N61" i="3"/>
  <c r="N41" i="3"/>
  <c r="N81" i="3"/>
  <c r="M61" i="3"/>
  <c r="M41" i="3"/>
  <c r="M81" i="3"/>
  <c r="L61" i="3"/>
  <c r="L41" i="3"/>
  <c r="L81" i="3"/>
  <c r="K61" i="3"/>
  <c r="K41" i="3"/>
  <c r="K81" i="3"/>
  <c r="J61" i="3"/>
  <c r="J41" i="3"/>
  <c r="J81" i="3"/>
  <c r="I61" i="3"/>
  <c r="I41" i="3"/>
  <c r="I81" i="3"/>
  <c r="H61" i="3"/>
  <c r="H41" i="3"/>
  <c r="H81" i="3"/>
  <c r="G61" i="3"/>
  <c r="G41" i="3"/>
  <c r="G81" i="3"/>
  <c r="F61" i="3"/>
  <c r="F41" i="3"/>
  <c r="F81" i="3"/>
  <c r="E61" i="3"/>
  <c r="E41" i="3"/>
  <c r="E81" i="3"/>
  <c r="D61" i="3"/>
  <c r="D41" i="3"/>
  <c r="D81" i="3"/>
  <c r="C61" i="3"/>
  <c r="C41" i="3"/>
  <c r="C81" i="3"/>
  <c r="C9" i="3"/>
  <c r="C19" i="3"/>
  <c r="C29" i="3"/>
  <c r="C49" i="3"/>
  <c r="D9" i="3"/>
  <c r="D19" i="3"/>
  <c r="D29" i="3"/>
  <c r="D49" i="3"/>
  <c r="E9" i="3"/>
  <c r="E19" i="3"/>
  <c r="E29" i="3"/>
  <c r="E49" i="3"/>
  <c r="F9" i="3"/>
  <c r="F19" i="3"/>
  <c r="F29" i="3"/>
  <c r="F49" i="3"/>
  <c r="G9" i="3"/>
  <c r="G19" i="3"/>
  <c r="G29" i="3"/>
  <c r="G49" i="3"/>
  <c r="H9" i="3"/>
  <c r="H19" i="3"/>
  <c r="H29" i="3"/>
  <c r="H49" i="3"/>
  <c r="I9" i="3"/>
  <c r="I19" i="3"/>
  <c r="I29" i="3"/>
  <c r="I49" i="3"/>
  <c r="J9" i="3"/>
  <c r="J19" i="3"/>
  <c r="J29" i="3"/>
  <c r="J49" i="3"/>
  <c r="K9" i="3"/>
  <c r="K19" i="3"/>
  <c r="K29" i="3"/>
  <c r="K49" i="3"/>
  <c r="L9" i="3"/>
  <c r="L19" i="3"/>
  <c r="L29" i="3"/>
  <c r="L49" i="3"/>
  <c r="U49" i="3"/>
  <c r="U60" i="3"/>
  <c r="U29" i="3"/>
  <c r="U40" i="3"/>
  <c r="U80" i="3"/>
  <c r="T60" i="3"/>
  <c r="T40" i="3"/>
  <c r="T80" i="3"/>
  <c r="S60" i="3"/>
  <c r="S40" i="3"/>
  <c r="S80" i="3"/>
  <c r="R60" i="3"/>
  <c r="R40" i="3"/>
  <c r="R80" i="3"/>
  <c r="Q60" i="3"/>
  <c r="Q40" i="3"/>
  <c r="Q80" i="3"/>
  <c r="P60" i="3"/>
  <c r="P40" i="3"/>
  <c r="P80" i="3"/>
  <c r="O60" i="3"/>
  <c r="O40" i="3"/>
  <c r="O80" i="3"/>
  <c r="N60" i="3"/>
  <c r="N40" i="3"/>
  <c r="N80" i="3"/>
  <c r="M60" i="3"/>
  <c r="M40" i="3"/>
  <c r="M80" i="3"/>
  <c r="L60" i="3"/>
  <c r="L40" i="3"/>
  <c r="L80" i="3"/>
  <c r="K60" i="3"/>
  <c r="K40" i="3"/>
  <c r="K80" i="3"/>
  <c r="J60" i="3"/>
  <c r="J40" i="3"/>
  <c r="J80" i="3"/>
  <c r="I60" i="3"/>
  <c r="I40" i="3"/>
  <c r="I80" i="3"/>
  <c r="H60" i="3"/>
  <c r="H40" i="3"/>
  <c r="H80" i="3"/>
  <c r="G60" i="3"/>
  <c r="G40" i="3"/>
  <c r="G80" i="3"/>
  <c r="F60" i="3"/>
  <c r="F40" i="3"/>
  <c r="F80" i="3"/>
  <c r="E60" i="3"/>
  <c r="E40" i="3"/>
  <c r="E80" i="3"/>
  <c r="D60" i="3"/>
  <c r="D40" i="3"/>
  <c r="D80" i="3"/>
  <c r="C60" i="3"/>
  <c r="C40" i="3"/>
  <c r="C80" i="3"/>
  <c r="C8" i="3"/>
  <c r="C18" i="3"/>
  <c r="C28" i="3"/>
  <c r="C48" i="3"/>
  <c r="D8" i="3"/>
  <c r="D18" i="3"/>
  <c r="D28" i="3"/>
  <c r="D48" i="3"/>
  <c r="E8" i="3"/>
  <c r="E18" i="3"/>
  <c r="E28" i="3"/>
  <c r="E48" i="3"/>
  <c r="F8" i="3"/>
  <c r="F18" i="3"/>
  <c r="F28" i="3"/>
  <c r="F48" i="3"/>
  <c r="G8" i="3"/>
  <c r="G18" i="3"/>
  <c r="G28" i="3"/>
  <c r="G48" i="3"/>
  <c r="H8" i="3"/>
  <c r="H18" i="3"/>
  <c r="H28" i="3"/>
  <c r="H48" i="3"/>
  <c r="I8" i="3"/>
  <c r="I18" i="3"/>
  <c r="I28" i="3"/>
  <c r="I48" i="3"/>
  <c r="J8" i="3"/>
  <c r="J18" i="3"/>
  <c r="J28" i="3"/>
  <c r="J48" i="3"/>
  <c r="K8" i="3"/>
  <c r="K18" i="3"/>
  <c r="K28" i="3"/>
  <c r="K48" i="3"/>
  <c r="L8" i="3"/>
  <c r="L18" i="3"/>
  <c r="L28" i="3"/>
  <c r="L48" i="3"/>
  <c r="U48" i="3"/>
  <c r="U59" i="3"/>
  <c r="U28" i="3"/>
  <c r="U39" i="3"/>
  <c r="U79" i="3"/>
  <c r="T59" i="3"/>
  <c r="T39" i="3"/>
  <c r="T79" i="3"/>
  <c r="S59" i="3"/>
  <c r="S39" i="3"/>
  <c r="S79" i="3"/>
  <c r="R59" i="3"/>
  <c r="R39" i="3"/>
  <c r="R79" i="3"/>
  <c r="Q59" i="3"/>
  <c r="Q39" i="3"/>
  <c r="Q79" i="3"/>
  <c r="P59" i="3"/>
  <c r="P39" i="3"/>
  <c r="P79" i="3"/>
  <c r="O59" i="3"/>
  <c r="O39" i="3"/>
  <c r="O79" i="3"/>
  <c r="N59" i="3"/>
  <c r="N39" i="3"/>
  <c r="N79" i="3"/>
  <c r="M59" i="3"/>
  <c r="M39" i="3"/>
  <c r="M79" i="3"/>
  <c r="L59" i="3"/>
  <c r="L39" i="3"/>
  <c r="L79" i="3"/>
  <c r="K59" i="3"/>
  <c r="K39" i="3"/>
  <c r="K79" i="3"/>
  <c r="J59" i="3"/>
  <c r="J39" i="3"/>
  <c r="J79" i="3"/>
  <c r="I59" i="3"/>
  <c r="I39" i="3"/>
  <c r="I79" i="3"/>
  <c r="H59" i="3"/>
  <c r="H39" i="3"/>
  <c r="H79" i="3"/>
  <c r="G59" i="3"/>
  <c r="G39" i="3"/>
  <c r="G79" i="3"/>
  <c r="F59" i="3"/>
  <c r="F39" i="3"/>
  <c r="F79" i="3"/>
  <c r="E59" i="3"/>
  <c r="E39" i="3"/>
  <c r="E79" i="3"/>
  <c r="D59" i="3"/>
  <c r="D39" i="3"/>
  <c r="D79" i="3"/>
  <c r="C59" i="3"/>
  <c r="C39" i="3"/>
  <c r="C79" i="3"/>
  <c r="C7" i="3"/>
  <c r="C17" i="3"/>
  <c r="C27" i="3"/>
  <c r="C47" i="3"/>
  <c r="D7" i="3"/>
  <c r="D17" i="3"/>
  <c r="D27" i="3"/>
  <c r="D47" i="3"/>
  <c r="E7" i="3"/>
  <c r="E17" i="3"/>
  <c r="E27" i="3"/>
  <c r="E47" i="3"/>
  <c r="F7" i="3"/>
  <c r="F17" i="3"/>
  <c r="F27" i="3"/>
  <c r="F47" i="3"/>
  <c r="G7" i="3"/>
  <c r="G17" i="3"/>
  <c r="G27" i="3"/>
  <c r="G47" i="3"/>
  <c r="H7" i="3"/>
  <c r="H17" i="3"/>
  <c r="H27" i="3"/>
  <c r="H47" i="3"/>
  <c r="I7" i="3"/>
  <c r="I17" i="3"/>
  <c r="I27" i="3"/>
  <c r="I47" i="3"/>
  <c r="J7" i="3"/>
  <c r="J17" i="3"/>
  <c r="J27" i="3"/>
  <c r="J47" i="3"/>
  <c r="K7" i="3"/>
  <c r="K17" i="3"/>
  <c r="K27" i="3"/>
  <c r="K47" i="3"/>
  <c r="L7" i="3"/>
  <c r="L17" i="3"/>
  <c r="L27" i="3"/>
  <c r="L47" i="3"/>
  <c r="U47" i="3"/>
  <c r="U58" i="3"/>
  <c r="U27" i="3"/>
  <c r="U38" i="3"/>
  <c r="U78" i="3"/>
  <c r="T58" i="3"/>
  <c r="T38" i="3"/>
  <c r="T78" i="3"/>
  <c r="S58" i="3"/>
  <c r="S38" i="3"/>
  <c r="S78" i="3"/>
  <c r="R58" i="3"/>
  <c r="R38" i="3"/>
  <c r="R78" i="3"/>
  <c r="Q58" i="3"/>
  <c r="Q38" i="3"/>
  <c r="Q78" i="3"/>
  <c r="P58" i="3"/>
  <c r="P38" i="3"/>
  <c r="P78" i="3"/>
  <c r="O58" i="3"/>
  <c r="O38" i="3"/>
  <c r="O78" i="3"/>
  <c r="N58" i="3"/>
  <c r="N38" i="3"/>
  <c r="N78" i="3"/>
  <c r="M58" i="3"/>
  <c r="M38" i="3"/>
  <c r="M78" i="3"/>
  <c r="L58" i="3"/>
  <c r="L38" i="3"/>
  <c r="L78" i="3"/>
  <c r="K58" i="3"/>
  <c r="K38" i="3"/>
  <c r="K78" i="3"/>
  <c r="J58" i="3"/>
  <c r="J38" i="3"/>
  <c r="J78" i="3"/>
  <c r="I58" i="3"/>
  <c r="I38" i="3"/>
  <c r="I78" i="3"/>
  <c r="H58" i="3"/>
  <c r="H38" i="3"/>
  <c r="H78" i="3"/>
  <c r="G58" i="3"/>
  <c r="G38" i="3"/>
  <c r="G78" i="3"/>
  <c r="F58" i="3"/>
  <c r="F38" i="3"/>
  <c r="F78" i="3"/>
  <c r="E58" i="3"/>
  <c r="E38" i="3"/>
  <c r="E78" i="3"/>
  <c r="D58" i="3"/>
  <c r="D38" i="3"/>
  <c r="D78" i="3"/>
  <c r="C58" i="3"/>
  <c r="C38" i="3"/>
  <c r="C78" i="3"/>
  <c r="C5" i="4"/>
  <c r="C6" i="4"/>
  <c r="C4" i="4"/>
  <c r="C8" i="4"/>
  <c r="C9" i="4"/>
  <c r="C7" i="4"/>
  <c r="C11" i="4"/>
  <c r="C12" i="4"/>
  <c r="C10" i="4"/>
  <c r="C14" i="4"/>
  <c r="C15" i="4"/>
  <c r="C16" i="4"/>
  <c r="C18" i="4"/>
  <c r="C13" i="4"/>
  <c r="C20" i="4"/>
  <c r="C21" i="4"/>
  <c r="C19" i="4"/>
  <c r="C23" i="4"/>
  <c r="C24" i="4"/>
  <c r="C22" i="4"/>
  <c r="C28" i="4"/>
  <c r="C29" i="4"/>
  <c r="C30" i="4"/>
  <c r="C27" i="4"/>
  <c r="C33" i="4"/>
  <c r="D25" i="4"/>
  <c r="D26" i="4"/>
  <c r="D22" i="4"/>
  <c r="D28" i="4"/>
  <c r="D29" i="4"/>
  <c r="D30" i="4"/>
  <c r="D27" i="4"/>
  <c r="D33" i="4"/>
  <c r="E29" i="4"/>
  <c r="E27" i="4"/>
  <c r="E31" i="4"/>
  <c r="E32" i="4"/>
  <c r="E33" i="4"/>
  <c r="F29" i="4"/>
  <c r="F30" i="4"/>
  <c r="F27" i="4"/>
  <c r="F32" i="4"/>
  <c r="F33" i="4"/>
  <c r="G29" i="4"/>
  <c r="G30" i="4"/>
  <c r="G27" i="4"/>
  <c r="G32" i="4"/>
  <c r="G33" i="4"/>
  <c r="H29" i="4"/>
  <c r="H30" i="4"/>
  <c r="H27" i="4"/>
  <c r="H32" i="4"/>
  <c r="H33" i="4"/>
  <c r="I29" i="4"/>
  <c r="I30" i="4"/>
  <c r="I27" i="4"/>
  <c r="I32" i="4"/>
  <c r="I33" i="4"/>
  <c r="H6" i="9"/>
  <c r="J29" i="4"/>
  <c r="J30" i="4"/>
  <c r="J27" i="4"/>
  <c r="J32" i="4"/>
  <c r="J33" i="4"/>
  <c r="K29" i="4"/>
  <c r="K30" i="4"/>
  <c r="K27" i="4"/>
  <c r="K32" i="4"/>
  <c r="K33" i="4"/>
  <c r="L29" i="4"/>
  <c r="L30" i="4"/>
  <c r="L27" i="4"/>
  <c r="L32" i="4"/>
  <c r="L33" i="4"/>
  <c r="M29" i="4"/>
  <c r="M30" i="4"/>
  <c r="M27" i="4"/>
  <c r="M32" i="4"/>
  <c r="M33" i="4"/>
  <c r="N29" i="4"/>
  <c r="N30" i="4"/>
  <c r="N27" i="4"/>
  <c r="N32" i="4"/>
  <c r="N33" i="4"/>
  <c r="O29" i="4"/>
  <c r="O30" i="4"/>
  <c r="O27" i="4"/>
  <c r="O32" i="4"/>
  <c r="O33" i="4"/>
  <c r="P29" i="4"/>
  <c r="P30" i="4"/>
  <c r="P27" i="4"/>
  <c r="P32" i="4"/>
  <c r="P33" i="4"/>
  <c r="Q29" i="4"/>
  <c r="Q30" i="4"/>
  <c r="Q27" i="4"/>
  <c r="Q32" i="4"/>
  <c r="Q33" i="4"/>
  <c r="R29" i="4"/>
  <c r="R30" i="4"/>
  <c r="R27" i="4"/>
  <c r="R32" i="4"/>
  <c r="R33" i="4"/>
  <c r="S29" i="4"/>
  <c r="S30" i="4"/>
  <c r="S27" i="4"/>
  <c r="S32" i="4"/>
  <c r="S33" i="4"/>
  <c r="T29" i="4"/>
  <c r="T30" i="4"/>
  <c r="T27" i="4"/>
  <c r="T32" i="4"/>
  <c r="T33" i="4"/>
  <c r="U56" i="3"/>
  <c r="U36" i="3"/>
  <c r="U76" i="3"/>
  <c r="T56" i="3"/>
  <c r="T36" i="3"/>
  <c r="T76" i="3"/>
  <c r="S56" i="3"/>
  <c r="S36" i="3"/>
  <c r="S76" i="3"/>
  <c r="R56" i="3"/>
  <c r="R36" i="3"/>
  <c r="R76" i="3"/>
  <c r="Q56" i="3"/>
  <c r="Q36" i="3"/>
  <c r="Q76" i="3"/>
  <c r="P56" i="3"/>
  <c r="P36" i="3"/>
  <c r="P76" i="3"/>
  <c r="O56" i="3"/>
  <c r="O36" i="3"/>
  <c r="O76" i="3"/>
  <c r="N56" i="3"/>
  <c r="N36" i="3"/>
  <c r="N76" i="3"/>
  <c r="M56" i="3"/>
  <c r="M36" i="3"/>
  <c r="M76" i="3"/>
  <c r="L56" i="3"/>
  <c r="L36" i="3"/>
  <c r="L76" i="3"/>
  <c r="K56" i="3"/>
  <c r="K36" i="3"/>
  <c r="K76" i="3"/>
  <c r="J56" i="3"/>
  <c r="J36" i="3"/>
  <c r="J76" i="3"/>
  <c r="I56" i="3"/>
  <c r="I36" i="3"/>
  <c r="I76" i="3"/>
  <c r="H56" i="3"/>
  <c r="H36" i="3"/>
  <c r="H76" i="3"/>
  <c r="G56" i="3"/>
  <c r="G36" i="3"/>
  <c r="G76" i="3"/>
  <c r="F56" i="3"/>
  <c r="F36" i="3"/>
  <c r="F76" i="3"/>
  <c r="E56" i="3"/>
  <c r="E36" i="3"/>
  <c r="E76" i="3"/>
  <c r="D56" i="3"/>
  <c r="D36" i="3"/>
  <c r="D76" i="3"/>
  <c r="C56" i="3"/>
  <c r="C36" i="3"/>
  <c r="C76" i="3"/>
  <c r="U55" i="3"/>
  <c r="U35" i="3"/>
  <c r="U75" i="3"/>
  <c r="T55" i="3"/>
  <c r="T35" i="3"/>
  <c r="T75" i="3"/>
  <c r="S55" i="3"/>
  <c r="S35" i="3"/>
  <c r="S75" i="3"/>
  <c r="R55" i="3"/>
  <c r="R35" i="3"/>
  <c r="R75" i="3"/>
  <c r="Q55" i="3"/>
  <c r="Q35" i="3"/>
  <c r="Q75" i="3"/>
  <c r="P55" i="3"/>
  <c r="P35" i="3"/>
  <c r="P75" i="3"/>
  <c r="O55" i="3"/>
  <c r="O35" i="3"/>
  <c r="O75" i="3"/>
  <c r="N55" i="3"/>
  <c r="N35" i="3"/>
  <c r="N75" i="3"/>
  <c r="M55" i="3"/>
  <c r="M35" i="3"/>
  <c r="M75" i="3"/>
  <c r="L55" i="3"/>
  <c r="L35" i="3"/>
  <c r="L75" i="3"/>
  <c r="K55" i="3"/>
  <c r="K35" i="3"/>
  <c r="K75" i="3"/>
  <c r="J55" i="3"/>
  <c r="J35" i="3"/>
  <c r="J75" i="3"/>
  <c r="I55" i="3"/>
  <c r="I35" i="3"/>
  <c r="I75" i="3"/>
  <c r="H55" i="3"/>
  <c r="H35" i="3"/>
  <c r="H75" i="3"/>
  <c r="G55" i="3"/>
  <c r="G35" i="3"/>
  <c r="G75" i="3"/>
  <c r="F55" i="3"/>
  <c r="F35" i="3"/>
  <c r="F75" i="3"/>
  <c r="E55" i="3"/>
  <c r="E35" i="3"/>
  <c r="E75" i="3"/>
  <c r="D55" i="3"/>
  <c r="D35" i="3"/>
  <c r="D75" i="3"/>
  <c r="C55" i="3"/>
  <c r="C35" i="3"/>
  <c r="C75" i="3"/>
  <c r="U54" i="3"/>
  <c r="U34" i="3"/>
  <c r="U74" i="3"/>
  <c r="T54" i="3"/>
  <c r="T34" i="3"/>
  <c r="T74" i="3"/>
  <c r="S54" i="3"/>
  <c r="S34" i="3"/>
  <c r="S74" i="3"/>
  <c r="R54" i="3"/>
  <c r="R34" i="3"/>
  <c r="R74" i="3"/>
  <c r="Q54" i="3"/>
  <c r="Q34" i="3"/>
  <c r="Q74" i="3"/>
  <c r="P54" i="3"/>
  <c r="P34" i="3"/>
  <c r="P74" i="3"/>
  <c r="O54" i="3"/>
  <c r="O34" i="3"/>
  <c r="O74" i="3"/>
  <c r="N54" i="3"/>
  <c r="N34" i="3"/>
  <c r="N74" i="3"/>
  <c r="M54" i="3"/>
  <c r="M34" i="3"/>
  <c r="M74" i="3"/>
  <c r="L54" i="3"/>
  <c r="L34" i="3"/>
  <c r="L74" i="3"/>
  <c r="K54" i="3"/>
  <c r="K34" i="3"/>
  <c r="K74" i="3"/>
  <c r="J54" i="3"/>
  <c r="J34" i="3"/>
  <c r="J74" i="3"/>
  <c r="I54" i="3"/>
  <c r="I34" i="3"/>
  <c r="I74" i="3"/>
  <c r="H54" i="3"/>
  <c r="H34" i="3"/>
  <c r="H74" i="3"/>
  <c r="G54" i="3"/>
  <c r="G34" i="3"/>
  <c r="G74" i="3"/>
  <c r="F54" i="3"/>
  <c r="F34" i="3"/>
  <c r="F74" i="3"/>
  <c r="E54" i="3"/>
  <c r="E34" i="3"/>
  <c r="E74" i="3"/>
  <c r="D54" i="3"/>
  <c r="D34" i="3"/>
  <c r="D74" i="3"/>
  <c r="C54" i="3"/>
  <c r="C34" i="3"/>
  <c r="C74" i="3"/>
  <c r="U53" i="3"/>
  <c r="U33" i="3"/>
  <c r="U73" i="3"/>
  <c r="T53" i="3"/>
  <c r="T33" i="3"/>
  <c r="T73" i="3"/>
  <c r="S53" i="3"/>
  <c r="S33" i="3"/>
  <c r="S73" i="3"/>
  <c r="R53" i="3"/>
  <c r="R33" i="3"/>
  <c r="R73" i="3"/>
  <c r="Q53" i="3"/>
  <c r="Q33" i="3"/>
  <c r="Q73" i="3"/>
  <c r="P53" i="3"/>
  <c r="P33" i="3"/>
  <c r="P73" i="3"/>
  <c r="O53" i="3"/>
  <c r="O33" i="3"/>
  <c r="O73" i="3"/>
  <c r="N53" i="3"/>
  <c r="N33" i="3"/>
  <c r="N73" i="3"/>
  <c r="M53" i="3"/>
  <c r="M33" i="3"/>
  <c r="M73" i="3"/>
  <c r="L53" i="3"/>
  <c r="L33" i="3"/>
  <c r="L73" i="3"/>
  <c r="K53" i="3"/>
  <c r="K33" i="3"/>
  <c r="K73" i="3"/>
  <c r="J53" i="3"/>
  <c r="J33" i="3"/>
  <c r="J73" i="3"/>
  <c r="I53" i="3"/>
  <c r="I33" i="3"/>
  <c r="I73" i="3"/>
  <c r="H53" i="3"/>
  <c r="H33" i="3"/>
  <c r="H73" i="3"/>
  <c r="G53" i="3"/>
  <c r="G33" i="3"/>
  <c r="G73" i="3"/>
  <c r="F53" i="3"/>
  <c r="F33" i="3"/>
  <c r="F73" i="3"/>
  <c r="E53" i="3"/>
  <c r="E33" i="3"/>
  <c r="E73" i="3"/>
  <c r="D53" i="3"/>
  <c r="D33" i="3"/>
  <c r="D73" i="3"/>
  <c r="C53" i="3"/>
  <c r="C33" i="3"/>
  <c r="C73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U70" i="3"/>
  <c r="U69" i="3"/>
  <c r="U68" i="3"/>
  <c r="U67" i="3"/>
  <c r="U66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G32" i="9"/>
  <c r="F32" i="9"/>
  <c r="E32" i="9"/>
  <c r="K20" i="8"/>
  <c r="F28" i="7"/>
  <c r="E67" i="7"/>
  <c r="F67" i="7"/>
  <c r="F28" i="1"/>
  <c r="E67" i="1"/>
  <c r="F67" i="1"/>
  <c r="F20" i="7"/>
  <c r="D23" i="7"/>
  <c r="F20" i="1"/>
  <c r="D23" i="1"/>
  <c r="F22" i="1"/>
  <c r="F23" i="1"/>
  <c r="F21" i="1"/>
  <c r="C1" i="1"/>
  <c r="D30" i="1"/>
  <c r="D31" i="1"/>
  <c r="F31" i="1"/>
  <c r="F29" i="1"/>
  <c r="D37" i="1"/>
  <c r="F37" i="1"/>
  <c r="F35" i="1"/>
  <c r="D45" i="1"/>
  <c r="F45" i="1"/>
  <c r="D46" i="1"/>
  <c r="F46" i="1"/>
  <c r="D47" i="1"/>
  <c r="F47" i="1"/>
  <c r="F44" i="1"/>
  <c r="D49" i="1"/>
  <c r="F49" i="1"/>
  <c r="D50" i="1"/>
  <c r="F50" i="1"/>
  <c r="D51" i="1"/>
  <c r="F51" i="1"/>
  <c r="F48" i="1"/>
  <c r="F43" i="1"/>
  <c r="D53" i="1"/>
  <c r="F53" i="1"/>
  <c r="D54" i="1"/>
  <c r="F54" i="1"/>
  <c r="F52" i="1"/>
  <c r="D62" i="1"/>
  <c r="F62" i="1"/>
  <c r="F61" i="1"/>
  <c r="F58" i="1"/>
  <c r="C1" i="7"/>
  <c r="D30" i="7"/>
  <c r="D31" i="7"/>
  <c r="F31" i="7"/>
  <c r="F29" i="7"/>
  <c r="D37" i="7"/>
  <c r="F37" i="7"/>
  <c r="F35" i="7"/>
  <c r="D45" i="7"/>
  <c r="F45" i="7"/>
  <c r="D46" i="7"/>
  <c r="F46" i="7"/>
  <c r="D47" i="7"/>
  <c r="F47" i="7"/>
  <c r="F44" i="7"/>
  <c r="D49" i="7"/>
  <c r="F49" i="7"/>
  <c r="D50" i="7"/>
  <c r="F50" i="7"/>
  <c r="D51" i="7"/>
  <c r="F51" i="7"/>
  <c r="F48" i="7"/>
  <c r="F43" i="7"/>
  <c r="D53" i="7"/>
  <c r="F53" i="7"/>
  <c r="D54" i="7"/>
  <c r="F54" i="7"/>
  <c r="F52" i="7"/>
  <c r="D62" i="7"/>
  <c r="F62" i="7"/>
  <c r="F61" i="7"/>
  <c r="F58" i="7"/>
  <c r="F22" i="7"/>
  <c r="F23" i="7"/>
  <c r="F21" i="7"/>
  <c r="F4" i="7"/>
  <c r="F7" i="7"/>
  <c r="F8" i="7"/>
  <c r="F6" i="7"/>
  <c r="F10" i="7"/>
  <c r="F11" i="7"/>
  <c r="F9" i="7"/>
  <c r="F5" i="7"/>
  <c r="F14" i="7"/>
  <c r="D15" i="7"/>
  <c r="F15" i="7"/>
  <c r="F13" i="7"/>
  <c r="D17" i="7"/>
  <c r="F18" i="7"/>
  <c r="D19" i="7"/>
  <c r="F19" i="7"/>
  <c r="F16" i="7"/>
  <c r="F12" i="7"/>
  <c r="E22" i="7"/>
  <c r="D34" i="7"/>
  <c r="F34" i="7"/>
  <c r="F32" i="7"/>
  <c r="F36" i="7"/>
  <c r="F39" i="7"/>
  <c r="D40" i="7"/>
  <c r="F40" i="7"/>
  <c r="F38" i="7"/>
  <c r="F60" i="7"/>
  <c r="F59" i="7"/>
  <c r="D64" i="7"/>
  <c r="F65" i="7"/>
  <c r="D66" i="7"/>
  <c r="F66" i="7"/>
  <c r="F63" i="7"/>
  <c r="F7" i="1"/>
  <c r="F8" i="1"/>
  <c r="F6" i="1"/>
  <c r="F10" i="1"/>
  <c r="F11" i="1"/>
  <c r="F9" i="1"/>
  <c r="F5" i="1"/>
  <c r="F14" i="1"/>
  <c r="D15" i="1"/>
  <c r="F15" i="1"/>
  <c r="F13" i="1"/>
  <c r="D17" i="1"/>
  <c r="F18" i="1"/>
  <c r="D19" i="1"/>
  <c r="F19" i="1"/>
  <c r="F16" i="1"/>
  <c r="F12" i="1"/>
  <c r="E22" i="1"/>
  <c r="D34" i="1"/>
  <c r="F34" i="1"/>
  <c r="F32" i="1"/>
  <c r="F36" i="1"/>
  <c r="F39" i="1"/>
  <c r="D40" i="1"/>
  <c r="F40" i="1"/>
  <c r="F38" i="1"/>
  <c r="F60" i="1"/>
  <c r="F59" i="1"/>
  <c r="D64" i="1"/>
  <c r="F65" i="1"/>
  <c r="D66" i="1"/>
  <c r="F66" i="1"/>
  <c r="F63" i="1"/>
  <c r="F4" i="1"/>
  <c r="D96" i="7"/>
  <c r="F96" i="7"/>
  <c r="F95" i="7"/>
  <c r="D98" i="7"/>
  <c r="F99" i="7"/>
  <c r="D100" i="7"/>
  <c r="F100" i="7"/>
  <c r="F97" i="7"/>
  <c r="F102" i="7"/>
  <c r="F101" i="7"/>
  <c r="E103" i="7"/>
  <c r="F103" i="7"/>
  <c r="F94" i="7"/>
  <c r="D85" i="7"/>
  <c r="F85" i="7"/>
  <c r="F84" i="7"/>
  <c r="D87" i="7"/>
  <c r="F87" i="7"/>
  <c r="D88" i="7"/>
  <c r="F88" i="7"/>
  <c r="F89" i="7"/>
  <c r="F86" i="7"/>
  <c r="F91" i="7"/>
  <c r="F90" i="7"/>
  <c r="E92" i="7"/>
  <c r="F92" i="7"/>
  <c r="F83" i="7"/>
  <c r="D71" i="7"/>
  <c r="F71" i="7"/>
  <c r="D72" i="7"/>
  <c r="F72" i="7"/>
  <c r="F70" i="7"/>
  <c r="D76" i="7"/>
  <c r="F76" i="7"/>
  <c r="F75" i="7"/>
  <c r="F74" i="7"/>
  <c r="F73" i="7"/>
  <c r="D78" i="7"/>
  <c r="F79" i="7"/>
  <c r="D80" i="7"/>
  <c r="F80" i="7"/>
  <c r="F77" i="7"/>
  <c r="E81" i="7"/>
  <c r="F81" i="7"/>
  <c r="F69" i="7"/>
  <c r="D96" i="1"/>
  <c r="F96" i="1"/>
  <c r="F95" i="1"/>
  <c r="D98" i="1"/>
  <c r="F99" i="1"/>
  <c r="D100" i="1"/>
  <c r="F100" i="1"/>
  <c r="F97" i="1"/>
  <c r="F102" i="1"/>
  <c r="F101" i="1"/>
  <c r="E103" i="1"/>
  <c r="F103" i="1"/>
  <c r="F94" i="1"/>
  <c r="D85" i="1"/>
  <c r="F85" i="1"/>
  <c r="F84" i="1"/>
  <c r="D87" i="1"/>
  <c r="F87" i="1"/>
  <c r="D88" i="1"/>
  <c r="F88" i="1"/>
  <c r="F89" i="1"/>
  <c r="F86" i="1"/>
  <c r="F91" i="1"/>
  <c r="F90" i="1"/>
  <c r="E92" i="1"/>
  <c r="F92" i="1"/>
  <c r="F83" i="1"/>
  <c r="D71" i="1"/>
  <c r="F71" i="1"/>
  <c r="D72" i="1"/>
  <c r="F72" i="1"/>
  <c r="F70" i="1"/>
  <c r="D76" i="1"/>
  <c r="F76" i="1"/>
  <c r="F75" i="1"/>
  <c r="F74" i="1"/>
  <c r="F73" i="1"/>
  <c r="D78" i="1"/>
  <c r="F79" i="1"/>
  <c r="D80" i="1"/>
  <c r="F80" i="1"/>
  <c r="F77" i="1"/>
  <c r="E81" i="1"/>
  <c r="F81" i="1"/>
  <c r="F69" i="1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D19" i="8"/>
  <c r="D18" i="8"/>
  <c r="D17" i="8"/>
  <c r="D16" i="8"/>
  <c r="G9" i="8"/>
  <c r="G8" i="8"/>
  <c r="G7" i="8"/>
  <c r="G6" i="8"/>
  <c r="E6" i="2"/>
  <c r="S7" i="9"/>
  <c r="R7" i="9"/>
  <c r="Q7" i="9"/>
  <c r="P7" i="9"/>
  <c r="O7" i="9"/>
  <c r="N7" i="9"/>
  <c r="M7" i="9"/>
  <c r="L7" i="9"/>
  <c r="K7" i="9"/>
  <c r="J7" i="9"/>
  <c r="I7" i="9"/>
  <c r="G7" i="9"/>
  <c r="F7" i="9"/>
  <c r="E7" i="9"/>
  <c r="D7" i="9"/>
  <c r="C7" i="9"/>
  <c r="B7" i="9"/>
  <c r="D6" i="2"/>
  <c r="G6" i="9"/>
  <c r="F6" i="9"/>
  <c r="E6" i="9"/>
  <c r="D6" i="9"/>
  <c r="C6" i="9"/>
  <c r="B6" i="9"/>
  <c r="S6" i="9"/>
  <c r="R6" i="9"/>
  <c r="Q6" i="9"/>
  <c r="P6" i="9"/>
  <c r="O6" i="9"/>
  <c r="N6" i="9"/>
  <c r="M6" i="9"/>
  <c r="L6" i="9"/>
  <c r="K6" i="9"/>
  <c r="J6" i="9"/>
  <c r="I6" i="9"/>
  <c r="E19" i="8"/>
  <c r="K19" i="8"/>
  <c r="E18" i="8"/>
  <c r="K18" i="8"/>
  <c r="E17" i="8"/>
  <c r="K17" i="8"/>
  <c r="E16" i="8"/>
  <c r="K16" i="8"/>
  <c r="S32" i="9"/>
  <c r="R32" i="9"/>
  <c r="Q32" i="9"/>
  <c r="P32" i="9"/>
  <c r="O32" i="9"/>
  <c r="N32" i="9"/>
  <c r="M32" i="9"/>
  <c r="L32" i="9"/>
  <c r="K32" i="9"/>
  <c r="J32" i="9"/>
  <c r="I32" i="9"/>
  <c r="H32" i="9"/>
  <c r="K28" i="9"/>
  <c r="J28" i="9"/>
  <c r="I28" i="9"/>
  <c r="H28" i="9"/>
  <c r="G28" i="9"/>
  <c r="F28" i="9"/>
  <c r="E28" i="9"/>
  <c r="D28" i="9"/>
  <c r="C28" i="9"/>
  <c r="B28" i="9"/>
  <c r="K23" i="9"/>
  <c r="J23" i="9"/>
  <c r="I23" i="9"/>
  <c r="H23" i="9"/>
  <c r="G23" i="9"/>
  <c r="F23" i="9"/>
  <c r="E23" i="9"/>
  <c r="D23" i="9"/>
  <c r="C23" i="9"/>
  <c r="B23" i="9"/>
  <c r="K18" i="9"/>
  <c r="J18" i="9"/>
  <c r="I18" i="9"/>
  <c r="H18" i="9"/>
  <c r="G18" i="9"/>
  <c r="F18" i="9"/>
  <c r="E18" i="9"/>
  <c r="D18" i="9"/>
  <c r="C18" i="9"/>
  <c r="B18" i="9"/>
  <c r="K13" i="9"/>
  <c r="J13" i="9"/>
  <c r="I13" i="9"/>
  <c r="H13" i="9"/>
  <c r="G13" i="9"/>
  <c r="F13" i="9"/>
  <c r="E13" i="9"/>
  <c r="D13" i="9"/>
  <c r="C13" i="9"/>
  <c r="B13" i="9"/>
  <c r="E9" i="8"/>
  <c r="K9" i="8"/>
  <c r="E8" i="8"/>
  <c r="K8" i="8"/>
  <c r="E7" i="8"/>
  <c r="K7" i="8"/>
  <c r="E6" i="8"/>
  <c r="K6" i="8"/>
  <c r="D57" i="7"/>
  <c r="F57" i="7"/>
  <c r="D56" i="7"/>
  <c r="F56" i="7"/>
  <c r="F55" i="7"/>
  <c r="F42" i="7"/>
  <c r="F41" i="7"/>
  <c r="D25" i="7"/>
  <c r="D27" i="7"/>
  <c r="F27" i="7"/>
  <c r="F26" i="7"/>
  <c r="F25" i="7"/>
  <c r="F24" i="7"/>
  <c r="D57" i="1"/>
  <c r="D56" i="1"/>
  <c r="D25" i="1"/>
  <c r="F26" i="1"/>
  <c r="D27" i="1"/>
  <c r="F27" i="1"/>
  <c r="F25" i="1"/>
  <c r="F24" i="1"/>
  <c r="F57" i="1"/>
  <c r="F56" i="1"/>
  <c r="F55" i="1"/>
  <c r="F42" i="1"/>
  <c r="F41" i="1"/>
</calcChain>
</file>

<file path=xl/comments1.xml><?xml version="1.0" encoding="utf-8"?>
<comments xmlns="http://schemas.openxmlformats.org/spreadsheetml/2006/main">
  <authors>
    <author>Davran</author>
  </authors>
  <commentList>
    <comment ref="I20" authorId="0">
      <text>
        <r>
          <rPr>
            <b/>
            <sz val="9"/>
            <color indexed="81"/>
            <rFont val="Calibri"/>
            <family val="2"/>
          </rPr>
          <t>Davran:</t>
        </r>
        <r>
          <rPr>
            <sz val="9"/>
            <color indexed="81"/>
            <rFont val="Calibri"/>
            <family val="2"/>
          </rPr>
          <t xml:space="preserve">
сбор урожая начнется на 4 год</t>
        </r>
      </text>
    </comment>
    <comment ref="K20" authorId="0">
      <text>
        <r>
          <rPr>
            <b/>
            <sz val="9"/>
            <color indexed="81"/>
            <rFont val="Calibri"/>
            <family val="2"/>
          </rPr>
          <t>Davran:</t>
        </r>
        <r>
          <rPr>
            <sz val="9"/>
            <color indexed="81"/>
            <rFont val="Calibri"/>
            <family val="2"/>
          </rPr>
          <t xml:space="preserve">
в 1 год учитываются только расходы на посадку</t>
        </r>
      </text>
    </comment>
  </commentList>
</comments>
</file>

<file path=xl/sharedStrings.xml><?xml version="1.0" encoding="utf-8"?>
<sst xmlns="http://schemas.openxmlformats.org/spreadsheetml/2006/main" count="756" uniqueCount="210">
  <si>
    <t>Единица измерения</t>
  </si>
  <si>
    <t>1 год</t>
  </si>
  <si>
    <t>Солярка</t>
  </si>
  <si>
    <t>литр</t>
  </si>
  <si>
    <t>Кол-во</t>
  </si>
  <si>
    <t>Аренда трактора</t>
  </si>
  <si>
    <t>Пахота в один след</t>
  </si>
  <si>
    <r>
      <t>Сплошная подготовка почвы на участках с уклоном 3-5</t>
    </r>
    <r>
      <rPr>
        <b/>
        <vertAlign val="superscript"/>
        <sz val="12"/>
        <color theme="1"/>
        <rFont val="Times New Roman"/>
      </rPr>
      <t>о</t>
    </r>
  </si>
  <si>
    <t>Стоимость за единицу,
сум</t>
  </si>
  <si>
    <r>
      <t>Полосная подготовка почвы на участках с уклоном  до 8-12</t>
    </r>
    <r>
      <rPr>
        <b/>
        <vertAlign val="superscript"/>
        <sz val="12"/>
        <color theme="1"/>
        <rFont val="Times New Roman"/>
      </rPr>
      <t>о</t>
    </r>
  </si>
  <si>
    <t>га</t>
  </si>
  <si>
    <t>Площадь вспашки</t>
  </si>
  <si>
    <r>
      <t>Напашные террасы на участках с уклоном  до 8-15</t>
    </r>
    <r>
      <rPr>
        <b/>
        <vertAlign val="superscript"/>
        <sz val="12"/>
        <color theme="1"/>
        <rFont val="Times New Roman"/>
      </rPr>
      <t>о</t>
    </r>
  </si>
  <si>
    <t>Период</t>
  </si>
  <si>
    <t>Площадки</t>
  </si>
  <si>
    <t>штук</t>
  </si>
  <si>
    <t>Рабочая сила</t>
  </si>
  <si>
    <t>Создание ограды из подручного материала</t>
  </si>
  <si>
    <t>Длина ограды</t>
  </si>
  <si>
    <t>метр</t>
  </si>
  <si>
    <t>Колышки</t>
  </si>
  <si>
    <t>Всего расходы,
сум/га</t>
  </si>
  <si>
    <t>Рабочая сила (для разбивки)</t>
  </si>
  <si>
    <t>Разбивка участка на посадочные места и установка колышков</t>
  </si>
  <si>
    <t>Создание арычной сети для полива</t>
  </si>
  <si>
    <t xml:space="preserve"> Предпосадочные мероприятия</t>
  </si>
  <si>
    <t>Внесение удобрений</t>
  </si>
  <si>
    <t>Навоз</t>
  </si>
  <si>
    <t>м3</t>
  </si>
  <si>
    <t>Покупка навоза</t>
  </si>
  <si>
    <t>Внесение навоза</t>
  </si>
  <si>
    <t>Минеральные удобрения</t>
  </si>
  <si>
    <t>Перекопка навоза</t>
  </si>
  <si>
    <t>Аммофос</t>
  </si>
  <si>
    <t>Карбамид</t>
  </si>
  <si>
    <t>Калий</t>
  </si>
  <si>
    <t>кг</t>
  </si>
  <si>
    <t>Примечания</t>
  </si>
  <si>
    <t>С учетом перехода от одного посадочного места до другого за один ч/день возможна перекопка навоза на 90 – 100 лунках (30х30 см)</t>
  </si>
  <si>
    <t>Сеянцы/семена</t>
  </si>
  <si>
    <t>Мероприятия по организации фисташковой плантации 1 га</t>
  </si>
  <si>
    <t>Сеянцы</t>
  </si>
  <si>
    <t>Посадка сеянцев (рабочая сила)</t>
  </si>
  <si>
    <t>Семена</t>
  </si>
  <si>
    <t>кг/га</t>
  </si>
  <si>
    <t>Покупка сеянцев</t>
  </si>
  <si>
    <t>Покупка семян</t>
  </si>
  <si>
    <t>Посев семян (рабочая сила)</t>
  </si>
  <si>
    <t xml:space="preserve">Посев семян фисташки с одновременной заправкой почвы минеральными удобрениями – 80 мест=1 ч/дн </t>
  </si>
  <si>
    <t>Масса 1 семени 0,7 г и 4-5 семени на одно посевное место (280)</t>
  </si>
  <si>
    <t>Послепосадочные мероприятия</t>
  </si>
  <si>
    <t>раз</t>
  </si>
  <si>
    <t>Послепосадочный и не менее 4 вегетационных поливов</t>
  </si>
  <si>
    <t xml:space="preserve"> около 7 ч/дней на 1 га </t>
  </si>
  <si>
    <t>ч/дней</t>
  </si>
  <si>
    <t>Полив по арыкам</t>
  </si>
  <si>
    <t xml:space="preserve">Рыхление почвы </t>
  </si>
  <si>
    <t>После каждого полива (не менее 4 раз за сезон) осуществить рыхление почвы с удалением сорняков на посадочном месте размером 1 м2</t>
  </si>
  <si>
    <t xml:space="preserve">Норм - 1 ч/дн на 100 м2 </t>
  </si>
  <si>
    <t>Противопожарная опашка</t>
  </si>
  <si>
    <t>Ежегодно 2 раза за сезон осуществляют противопожарную опашку по периметру участка.</t>
  </si>
  <si>
    <t>Площадь опашки</t>
  </si>
  <si>
    <t>Длина периметра 400 м. Пашут 4-х корпусным плугом – 1,4 шириной.</t>
  </si>
  <si>
    <t xml:space="preserve">При ширине полосы 105 см (3 корпуса плуга) площадь вспашки составит в расчете на 1 га 1,05х100х17=1800 или 0,18 га </t>
  </si>
  <si>
    <t>При ширине полосы 140 см (4 корпуса плуга) площадь вспашки составит в расчете на 1 га 1,4х100х17=2 400 или 0,24 га</t>
  </si>
  <si>
    <t>Создаются 4-х кратным проходом трактора с плугом в одном и том же направлении с отвалом земли вниз по склону</t>
  </si>
  <si>
    <t>Подготовка почвы для посадки/посева</t>
  </si>
  <si>
    <r>
      <t>В виде площадок размером 1х1 м с обратным уклоном полотна площадки (на склонах крутизной более 20</t>
    </r>
    <r>
      <rPr>
        <vertAlign val="superscript"/>
        <sz val="12"/>
        <color theme="1"/>
        <rFont val="Times New Roman"/>
      </rPr>
      <t>о</t>
    </r>
    <r>
      <rPr>
        <sz val="12"/>
        <color theme="1"/>
        <rFont val="Times New Roman"/>
      </rPr>
      <t>)</t>
    </r>
  </si>
  <si>
    <t>За 8-часовой рабочий день 1 рабочий может изготовить 25 площадок</t>
  </si>
  <si>
    <t>Ограда из подручного материала – деревянные стойки длиной 1,5 м, вкопанные через 2 м друг от друга; на стойки прикрепляются 2-х метровые секции забора сделанные из ветвей, зажатых сверху и снизу двумя 2-х метровыми ровными хлыстами. На 1 га нужно 400 м ограды или 200 стоек и 200 2-х метровых секций.</t>
  </si>
  <si>
    <t>Примерная норма 1 ч/дн=20 м забора</t>
  </si>
  <si>
    <t>В среднем на 1 га требуется 3 чел/дня</t>
  </si>
  <si>
    <t>Для успешной приживаемости сеянцев в первый год жизни рекомендуется проводить их поливы.</t>
  </si>
  <si>
    <t>Предполагается создание арычной сети для полива. В зависимости от рельефа местности для ручного изготовления арычной сети нужно 5-8 чел/дн/га</t>
  </si>
  <si>
    <t>Подготовка посадочного места к посеву/посадке состоит из покупки перепревшего навоза, разноски его по посадочным местам, перекопки полведра навоза на посадочном месте с почвой, покупки минеральных удобрений и их внесении.</t>
  </si>
  <si>
    <t>при 280 посадочных мест на 1 га нужно – 0,003м3х280=0,84 м3 навоза</t>
  </si>
  <si>
    <t>В зависимости от рельефа местности за 8-часовой рабочий день можно разнести навоз примерно на 150 посадочных мест с учетом того, что разгрузка навоза будет осуществлена частями, распределенными равномерно по всей длине выдела.</t>
  </si>
  <si>
    <t>1 сеянец на 1 посадочное место</t>
  </si>
  <si>
    <t>Посадка сеянцев фисташки с одновременной заправкой почвы минеральными удобрениями – 80 растений=1 ч/дней</t>
  </si>
  <si>
    <t>2 год</t>
  </si>
  <si>
    <t>Осуществить дополнение (посадка новых растений взамен погибших) в размере 20% от запланированной густоты</t>
  </si>
  <si>
    <t>Покупка сеянцев (для замены погибших)</t>
  </si>
  <si>
    <t>3 год</t>
  </si>
  <si>
    <t>Окулировка</t>
  </si>
  <si>
    <t>Покупка сортовых черенков</t>
  </si>
  <si>
    <t>На черенке не менее 5 пригодных для окулировки почек. Цена примерная</t>
  </si>
  <si>
    <t>Окулировка дичков</t>
  </si>
  <si>
    <t>Стоимость одноразовой окулировки всех растений</t>
  </si>
  <si>
    <t>Транспортировка</t>
  </si>
  <si>
    <t>сум</t>
  </si>
  <si>
    <t>Уход за кроной</t>
  </si>
  <si>
    <t>В том числе, ревизия окулировки</t>
  </si>
  <si>
    <t>из расчета 3 ч/дн на 1 га</t>
  </si>
  <si>
    <t>Из расчета 80 сеянцев = 1 ч/дней</t>
  </si>
  <si>
    <t>Из расчета 50 грамм на 1 посадочное место</t>
  </si>
  <si>
    <t>Из расчета 25 грамм на 1 посадочное место</t>
  </si>
  <si>
    <t>В зависимости от удаленности материнской плантации от места окулировки. Сумма примерная</t>
  </si>
  <si>
    <t>4 год</t>
  </si>
  <si>
    <t>И в последующие годы</t>
  </si>
  <si>
    <t>Количество посадочных мест</t>
  </si>
  <si>
    <t>Схема</t>
  </si>
  <si>
    <t>6х6</t>
  </si>
  <si>
    <t>Из расчета 30 л на 1 га</t>
  </si>
  <si>
    <t>Из расчета 15 л на 1 га</t>
  </si>
  <si>
    <t>Из расчета 30 л на 1 га. 17 холостых проходов к началу террасы увеличивают расход топлива в 1,5 раза</t>
  </si>
  <si>
    <t>На каждом растении нужно делать по 2 окулировки.</t>
  </si>
  <si>
    <t>В зависимости от схемы посадки/посева на 1 га нужно от 100 до 280 колышков для обозначения посадочного места. Цена средняя.</t>
  </si>
  <si>
    <t>10х10</t>
  </si>
  <si>
    <t>При ширине полосы 105 см (3 корпуса плуга) площадь вспашки составит в расчете на 1 га 1,05х100х10=1050 или 0,11 га</t>
  </si>
  <si>
    <t>При ширине полосы 140 см (4 корпуса плуга) площадь вспашки составит в расчете на 1 га 1,4х100х10=1400 или 0,14 га</t>
  </si>
  <si>
    <t>при 100 посадочных мест на 1 га нужно – 0,003м3х100=0,3 м3 навоза</t>
  </si>
  <si>
    <t>Наименование культуры</t>
  </si>
  <si>
    <t xml:space="preserve">Посевные работы </t>
  </si>
  <si>
    <t>Мин. удобрения</t>
  </si>
  <si>
    <t>Уход, очистка от сорняков</t>
  </si>
  <si>
    <t>Сбор  урожая</t>
  </si>
  <si>
    <t>Всего расходов</t>
  </si>
  <si>
    <t>сум/кг</t>
  </si>
  <si>
    <t>сум/га</t>
  </si>
  <si>
    <t>Сафлора</t>
  </si>
  <si>
    <t>Горох</t>
  </si>
  <si>
    <t>Бахча</t>
  </si>
  <si>
    <t>Люцерна</t>
  </si>
  <si>
    <t>Наименование культур</t>
  </si>
  <si>
    <t>Годы</t>
  </si>
  <si>
    <t>Свободная площадь в фисташковом поле</t>
  </si>
  <si>
    <t>Урожайность, полная, кг/га</t>
  </si>
  <si>
    <t>Урожайность, кг/га</t>
  </si>
  <si>
    <t>Чизелевание + боронование (одновременно) вспаханной почвы</t>
  </si>
  <si>
    <t>Прочие расходы</t>
  </si>
  <si>
    <t>Урожайность, с одного дерева</t>
  </si>
  <si>
    <t>Урожайность альтернативных растений</t>
  </si>
  <si>
    <t>Фисташка</t>
  </si>
  <si>
    <t>Средняя урожайность культур</t>
  </si>
  <si>
    <t>Урожайность, междурядье, кг/га</t>
  </si>
  <si>
    <t>2010 год</t>
  </si>
  <si>
    <t>2014 год</t>
  </si>
  <si>
    <t>Уровень инфляции</t>
  </si>
  <si>
    <t>Количество фисташковых деревья на 1 га</t>
  </si>
  <si>
    <t>Цена на необработанную фисташку, оптом</t>
  </si>
  <si>
    <t>Цена, горох</t>
  </si>
  <si>
    <t>Цена, бахча</t>
  </si>
  <si>
    <t>Цена, люцерна</t>
  </si>
  <si>
    <t>Цена, шиповник</t>
  </si>
  <si>
    <t>Количество плодоносящих фисташковых деревьев, маточные (85%)</t>
  </si>
  <si>
    <t>Урожай при схеме 6х6 кг/га</t>
  </si>
  <si>
    <t>Урожай при схеме 10х10, кг/га</t>
  </si>
  <si>
    <t>Средний коэффициент роста цен с 2010 по 2014</t>
  </si>
  <si>
    <t xml:space="preserve">Используемая площадь с 1 га </t>
  </si>
  <si>
    <t>Затраты по различным культурам, высаживаемым в междурядье фисташки до достижения фисташки хозяйственного плодоношения</t>
  </si>
  <si>
    <t>Очистка поля от растительных остатков</t>
  </si>
  <si>
    <t>Шиповник</t>
  </si>
  <si>
    <t>Закуп сеянцев шиповника</t>
  </si>
  <si>
    <t>Рабочая сила для посадки</t>
  </si>
  <si>
    <t>Для создания дополнительного колючего ограждения.</t>
  </si>
  <si>
    <t>10% от всех затрат</t>
  </si>
  <si>
    <t>Закладка фисташковой плантации посадкой сеянцев с закрытой корневой системой.</t>
  </si>
  <si>
    <t>Общая площадь</t>
  </si>
  <si>
    <t>%</t>
  </si>
  <si>
    <t>Показатели</t>
  </si>
  <si>
    <t>Значения</t>
  </si>
  <si>
    <t>Общие исходные показатели</t>
  </si>
  <si>
    <t>Цена, сафлора</t>
  </si>
  <si>
    <t>Урожайность, с одного дерева, кг</t>
  </si>
  <si>
    <t>Цены, сум/кг</t>
  </si>
  <si>
    <t>Доходы, сум</t>
  </si>
  <si>
    <t>Фисташка, 6х6</t>
  </si>
  <si>
    <t>Фисташка, 10х10</t>
  </si>
  <si>
    <t>Затраты</t>
  </si>
  <si>
    <t>Всего затрат</t>
  </si>
  <si>
    <t>Вспашка</t>
  </si>
  <si>
    <r>
      <t>Напашные террасы на участках с уклоном до 8-15</t>
    </r>
    <r>
      <rPr>
        <b/>
        <vertAlign val="superscript"/>
        <sz val="12"/>
        <color theme="1"/>
        <rFont val="Times New Roman"/>
      </rPr>
      <t>о</t>
    </r>
  </si>
  <si>
    <t>Схема 6х6, 280 растений</t>
  </si>
  <si>
    <t>Расходы, сум</t>
  </si>
  <si>
    <t>Схема 10х10, 100 растений</t>
  </si>
  <si>
    <t>Затраты на организацию 1 га фисташковой плантации по годам без учета инфляции</t>
  </si>
  <si>
    <t>Прибыль, сум</t>
  </si>
  <si>
    <t>Шиповник, количество деревьев</t>
  </si>
  <si>
    <t>Сбор урожая</t>
  </si>
  <si>
    <t xml:space="preserve"> Рентабельность</t>
  </si>
  <si>
    <t>Всего</t>
  </si>
  <si>
    <t>Фист + шип + сафлора</t>
  </si>
  <si>
    <t>Фист + шип + горох</t>
  </si>
  <si>
    <t>Фист + шип + бахча</t>
  </si>
  <si>
    <t>Фист + шип + люцерна</t>
  </si>
  <si>
    <t>Лист</t>
  </si>
  <si>
    <t>Параметры</t>
  </si>
  <si>
    <t>Описание</t>
  </si>
  <si>
    <t>Ставка дисконта (уровень фактической инфляции)</t>
  </si>
  <si>
    <t>№</t>
  </si>
  <si>
    <t>В этом листе представлены общие исходные показатели, которые можно свободно варьировать. Например, цены (на 2014 год) реализации фисташки, шиповника и других культур междурядья. Также можно скорректировать фактический показатель годовой инфляции, который используется для расчета будущих выгод и издержек.</t>
  </si>
  <si>
    <t>Свод 6х6</t>
  </si>
  <si>
    <t>Свод 10х10</t>
  </si>
  <si>
    <t>Примечание: затраты на шиповник не включены в общие затраты по фисташке и учтены отдельно. На случай если шиповник не будет сажаться.</t>
  </si>
  <si>
    <t>В данных листах отражены сводные данные по затратам на 1 га фисташковой плантации за 18 лет. Затраты даны в текущих ценах без учета ставки дисконта (инфляции) за будущие периоды - это промежуточные расчеты для вывода расчетов с учетом ставки дисконта в листе "Финплан". Однако данные сводные затраты дают представление о детальных расходах по годам.
При этом, затраты на шиповник не включены в итоговые затраты по фисташке и учтены отдельно. Это сделано на случай если шиповник не будет сажаться.</t>
  </si>
  <si>
    <t>Затраты культуры междурядья</t>
  </si>
  <si>
    <t>Для того, чтобы фермеры все же получали какой-то доход от участков под фисташковые плантации в первые годы после закладки, они могут выращивать на этих же участках различные садово-огородные культуры, такие как сафлора, горох, бахча или люцерна, как для собственных нужд, так и для продажи. При выборе с.х. культур для выращивания в междурядье фисташки, фермеру следует обратить внимание на наличие техники и рабочей силы, а также на спрос на будущую продукцию на рынке.
Сафлору, горох, бахчу или люцерну можно высаживать в междурядье фисташковых плантаций, примерно на 75% от общей площади засаженного участка. При этом дополнительной обработки почвы не потребуется, поскольку вспашку и обработку почвы чизель-культиватором (рыхление) уже проведут при закладке фисташковых плантаций. Затраты потребуются на семена и прочие ресурсы.
При этом посев в междурядье должен быть приостановлен на 10-й год после закладки фисташковых плантаций, поскольку начиная с 11-го года фисташка вступает в фазу хозяйственного плодоношения для чего ей потребуется больше энергии (питательных элементов в почве) и влаги для нормального развития и плодоношения. 
В 2010 году был сделан анализ годовых затрат по культурам междурядья. На 2014 год эти затраты скорректированы с учетом примерно среднего индекса роста цен в 2.5 раза. Эти затраты на будущие периоды также скорректированы на ставку дисконта (инфляции) в листе "Финплан"</t>
  </si>
  <si>
    <t>Урожайность</t>
  </si>
  <si>
    <t>Финплан</t>
  </si>
  <si>
    <t>Фист + шип</t>
  </si>
  <si>
    <t>В связи с тем, что разведение фисташковых плантаций это долгосрочый проект и получение экономических результатов ожидается через определенные промежутки во времени, доходы, расходы и прибыль были рассчитаны на период 18 лет с учетом изменения цен во времени. При этом за процентную ставку в расчетах будущей стоимости (FV) был принят свободный (неофициальный) уровень роста цен (инфляции) 20%.
Расчет прибыли/убытка и рентабельности был проведен последовательно для разных сценариев ведения фисташковых плантаций:
1. Фисташка+шиповник (без других культур)
2. Фисташка+шиповник+сафлора
3. Фисташка+шиповник+горох 
4. Фисташка+шиповник+бахча 
5. Фисташка+шиповник+люцерна
Начиная с 11-го года, когда фисташковые плантации начнут давать хозяйственный урожай и приносить существенную прибыль, сельскохозяйственные культуры в междурядье можно уже не сажать.
В целом, расчеты показали, что сама фисташка начинает плодоносить, а значит приносить прибыль с 7-го года, но в сочетании с другими культурами в междурядье получение прибыли может наступить и раньше.
Однако, в проектировании будущей прибыли от фисташковых плантаций надо учесть, что фисташка не дает урожай или урожай будет минимальным после 2 лет непрерывного плодоношения, т.е. каждый 3-й год фисташки «отдыхают». Так, в расчетах урожай фисташки уменьшается на 13-й и 16-й года (урожайность), а значит и прибыль в эти периоды тоже ожидается низкой.</t>
  </si>
  <si>
    <t>Расчеты автоматические - нельзя изменять</t>
  </si>
  <si>
    <t>Корректировка данных</t>
  </si>
  <si>
    <t>Расчеты автоматические. Можно изменить, но если есть точные данные по конкретным затратам в конкретной местности. Для шаблона не рекомендуется менять.</t>
  </si>
  <si>
    <r>
      <t>Данные по ожидаемой урожайности фисташки, шиповника и культур междурядья. Урожайность по фисташкам дана за каждое дерево в кг. Урожайность по другим культурам приведена в кг/га.</t>
    </r>
    <r>
      <rPr>
        <sz val="12"/>
        <color theme="1"/>
        <rFont val="Times New Roman"/>
      </rPr>
      <t xml:space="preserve">
Урожайность и срок получения урожая фисташки зависят от сорта на заложенных плантациях. Обычно урожайность многих сортов составляет около 10 центнеров с гектара, а период плодоношения начинается на 3-4 год после прививки, хозяйственное плодоношение начинается на 10-11 год, а полное хозяйственное плодоношение начинается на 17-18 год. Шиповник, посаженный вдоль ограждения участка, начнет давать урожай на 3-4 год после посадки и обычно будет жить от 20 до 25 лет. </t>
    </r>
  </si>
  <si>
    <r>
      <t>В данных листах представлены идентичные операции по созданию фисташковой плантации по схеме посадки 6х6 (280 растений на 1 га) и 10х10 (100 растений на 1 га).</t>
    </r>
    <r>
      <rPr>
        <sz val="12"/>
        <color theme="1"/>
        <rFont val="Times New Roman"/>
      </rPr>
      <t xml:space="preserve">
Операции и затраты представлены в последовательном порядке за первые четыре года. Цены взяты текущие на лето 2014 года, которые в других листах скорректированы на ставку дисконта (инфляции) . Там где необходимо, по каждой операции и расчету затрат даны примечания. Можно изменять цены на единицу затрат и количество операций. Например, стоимость одной единицы рабочей силы (чел/день) взята за 25000 сум за один 8-часовой рабочий день. В основном, отдельные затраты по схемам посадки варьируются, например, в части затрат на вспашку участка, покупку сеянцев и их посадки.</t>
    </r>
  </si>
  <si>
    <t>Можно корректировать все данные</t>
  </si>
  <si>
    <t>Можно изменять исходные показатели урожайности, которые не закрашены:
"урожайность полная" по культурам междурядья и "урожайность с одного дерева" фисташки.</t>
  </si>
  <si>
    <t>Расчеты автоматические - ничего не менять.</t>
  </si>
  <si>
    <r>
      <rPr>
        <b/>
        <sz val="12"/>
        <color theme="1"/>
        <rFont val="Times New Roman"/>
      </rPr>
      <t>Там где закрашено - автоматические расчеты и формулы и изменять их не рекомендуется.</t>
    </r>
    <r>
      <rPr>
        <sz val="12"/>
        <color theme="1"/>
        <rFont val="Times New Roman"/>
      </rPr>
      <t xml:space="preserve"> Рекомендуется изменять те данные которые не закрашены: цены на ресурсы отдельные, например и тд.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</si>
</sst>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\ [$UZS]"/>
    <numFmt numFmtId="167" formatCode="0.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b/>
      <vertAlign val="superscript"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Times New Roman"/>
    </font>
    <font>
      <vertAlign val="superscript"/>
      <sz val="12"/>
      <color theme="1"/>
      <name val="Times New Roman"/>
    </font>
    <font>
      <sz val="12"/>
      <name val="Times New Roman"/>
    </font>
    <font>
      <b/>
      <sz val="12"/>
      <name val="Times New Roman"/>
    </font>
    <font>
      <sz val="12"/>
      <color rgb="FF000000"/>
      <name val="Times New Roman"/>
    </font>
    <font>
      <b/>
      <sz val="12"/>
      <color rgb="FF3366FF"/>
      <name val="Times New Roman"/>
    </font>
    <font>
      <sz val="11"/>
      <color theme="1"/>
      <name val="Calibri"/>
      <family val="2"/>
      <scheme val="minor"/>
    </font>
    <font>
      <b/>
      <sz val="11"/>
      <color indexed="8"/>
      <name val="Times New Roman"/>
    </font>
    <font>
      <b/>
      <sz val="12"/>
      <color indexed="8"/>
      <name val="Times New Roman"/>
    </font>
    <font>
      <sz val="11"/>
      <color indexed="8"/>
      <name val="Times New Roman"/>
      <family val="1"/>
    </font>
    <font>
      <b/>
      <sz val="12"/>
      <color rgb="FF000000"/>
      <name val="Times New Roman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3" borderId="0" xfId="97" applyNumberFormat="1" applyFont="1" applyFill="1" applyAlignment="1">
      <alignment horizontal="center" vertical="center" wrapText="1"/>
    </xf>
    <xf numFmtId="164" fontId="7" fillId="3" borderId="0" xfId="97" applyNumberFormat="1" applyFont="1" applyFill="1" applyAlignment="1">
      <alignment horizontal="center" vertical="center" wrapText="1"/>
    </xf>
    <xf numFmtId="164" fontId="2" fillId="3" borderId="0" xfId="97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3" fillId="4" borderId="0" xfId="97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10" fillId="4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2" fillId="0" borderId="0" xfId="97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197" applyFont="1" applyFill="1" applyAlignment="1">
      <alignment horizontal="left" vertical="center"/>
    </xf>
    <xf numFmtId="0" fontId="2" fillId="0" borderId="4" xfId="197" applyFont="1" applyFill="1" applyBorder="1" applyAlignment="1">
      <alignment horizontal="left" vertical="center"/>
    </xf>
    <xf numFmtId="0" fontId="15" fillId="0" borderId="4" xfId="197" applyFont="1" applyFill="1" applyBorder="1" applyAlignment="1">
      <alignment horizontal="left" vertical="center"/>
    </xf>
    <xf numFmtId="0" fontId="2" fillId="0" borderId="4" xfId="197" applyFont="1" applyFill="1" applyBorder="1" applyAlignment="1">
      <alignment horizontal="left" vertical="center" wrapText="1"/>
    </xf>
    <xf numFmtId="0" fontId="3" fillId="0" borderId="4" xfId="197" applyFont="1" applyFill="1" applyBorder="1" applyAlignment="1">
      <alignment horizontal="left" vertical="center"/>
    </xf>
    <xf numFmtId="0" fontId="3" fillId="0" borderId="4" xfId="197" applyFont="1" applyFill="1" applyBorder="1" applyAlignment="1">
      <alignment horizontal="center" vertical="center"/>
    </xf>
    <xf numFmtId="0" fontId="2" fillId="0" borderId="4" xfId="197" applyFont="1" applyFill="1" applyBorder="1" applyAlignment="1">
      <alignment horizontal="center" vertical="center"/>
    </xf>
    <xf numFmtId="165" fontId="2" fillId="0" borderId="4" xfId="197" applyNumberFormat="1" applyFont="1" applyFill="1" applyBorder="1" applyAlignment="1">
      <alignment horizontal="center" vertical="center"/>
    </xf>
    <xf numFmtId="9" fontId="2" fillId="0" borderId="4" xfId="197" applyNumberFormat="1" applyFont="1" applyFill="1" applyBorder="1" applyAlignment="1">
      <alignment horizontal="center" vertical="center"/>
    </xf>
    <xf numFmtId="0" fontId="3" fillId="0" borderId="0" xfId="197" applyFont="1" applyFill="1" applyAlignment="1">
      <alignment horizontal="left" vertical="center"/>
    </xf>
    <xf numFmtId="0" fontId="2" fillId="0" borderId="1" xfId="197" applyFont="1" applyBorder="1" applyAlignment="1">
      <alignment horizontal="center" vertical="center" wrapText="1"/>
    </xf>
    <xf numFmtId="0" fontId="2" fillId="0" borderId="2" xfId="197" applyFont="1" applyBorder="1" applyAlignment="1">
      <alignment horizontal="center" vertical="center"/>
    </xf>
    <xf numFmtId="0" fontId="2" fillId="0" borderId="0" xfId="197" applyFont="1" applyBorder="1" applyAlignment="1">
      <alignment horizontal="left" vertical="center"/>
    </xf>
    <xf numFmtId="9" fontId="2" fillId="0" borderId="0" xfId="197" applyNumberFormat="1" applyFont="1" applyBorder="1" applyAlignment="1">
      <alignment horizontal="center" vertical="center"/>
    </xf>
    <xf numFmtId="0" fontId="2" fillId="0" borderId="0" xfId="197" applyFont="1" applyBorder="1" applyAlignment="1">
      <alignment horizontal="center" vertical="center"/>
    </xf>
    <xf numFmtId="0" fontId="2" fillId="0" borderId="3" xfId="197" applyFont="1" applyBorder="1" applyAlignment="1">
      <alignment horizontal="left" vertical="center"/>
    </xf>
    <xf numFmtId="9" fontId="2" fillId="0" borderId="3" xfId="197" applyNumberFormat="1" applyFont="1" applyBorder="1" applyAlignment="1">
      <alignment horizontal="center" vertical="center"/>
    </xf>
    <xf numFmtId="0" fontId="2" fillId="0" borderId="3" xfId="197" applyFont="1" applyBorder="1" applyAlignment="1">
      <alignment horizontal="center" vertical="center"/>
    </xf>
    <xf numFmtId="0" fontId="3" fillId="0" borderId="0" xfId="197" applyFont="1" applyAlignment="1">
      <alignment horizontal="left" vertical="center"/>
    </xf>
    <xf numFmtId="0" fontId="2" fillId="0" borderId="0" xfId="197" applyFont="1" applyAlignment="1">
      <alignment horizontal="center" vertical="center"/>
    </xf>
    <xf numFmtId="0" fontId="3" fillId="0" borderId="0" xfId="197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0" fontId="3" fillId="3" borderId="0" xfId="197" applyFont="1" applyFill="1" applyBorder="1" applyAlignment="1">
      <alignment horizontal="left" vertical="center"/>
    </xf>
    <xf numFmtId="9" fontId="2" fillId="3" borderId="0" xfId="197" applyNumberFormat="1" applyFont="1" applyFill="1" applyBorder="1" applyAlignment="1">
      <alignment horizontal="center" vertical="center"/>
    </xf>
    <xf numFmtId="0" fontId="2" fillId="3" borderId="0" xfId="197" applyFont="1" applyFill="1" applyAlignment="1">
      <alignment horizontal="center" vertical="center"/>
    </xf>
    <xf numFmtId="0" fontId="2" fillId="3" borderId="0" xfId="197" applyFont="1" applyFill="1" applyBorder="1" applyAlignment="1">
      <alignment horizontal="left" vertical="center"/>
    </xf>
    <xf numFmtId="0" fontId="3" fillId="3" borderId="0" xfId="197" applyFont="1" applyFill="1" applyBorder="1" applyAlignment="1">
      <alignment horizontal="center" vertical="center"/>
    </xf>
    <xf numFmtId="1" fontId="2" fillId="0" borderId="0" xfId="197" applyNumberFormat="1" applyFont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3" fillId="0" borderId="0" xfId="97" applyNumberFormat="1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64" fontId="7" fillId="6" borderId="0" xfId="97" applyNumberFormat="1" applyFon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164" fontId="2" fillId="6" borderId="0" xfId="97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2" fillId="2" borderId="4" xfId="197" applyNumberFormat="1" applyFont="1" applyFill="1" applyBorder="1" applyAlignment="1">
      <alignment horizontal="center" vertical="center"/>
    </xf>
    <xf numFmtId="0" fontId="2" fillId="2" borderId="4" xfId="197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0" fontId="3" fillId="0" borderId="1" xfId="197" applyFont="1" applyFill="1" applyBorder="1" applyAlignment="1">
      <alignment horizontal="center" vertical="center" wrapText="1"/>
    </xf>
    <xf numFmtId="0" fontId="3" fillId="0" borderId="2" xfId="197" applyFont="1" applyFill="1" applyBorder="1" applyAlignment="1">
      <alignment horizontal="center" vertical="center"/>
    </xf>
    <xf numFmtId="0" fontId="2" fillId="0" borderId="0" xfId="197" applyFont="1" applyFill="1" applyBorder="1" applyAlignment="1">
      <alignment horizontal="left" vertical="center"/>
    </xf>
    <xf numFmtId="9" fontId="2" fillId="0" borderId="0" xfId="197" applyNumberFormat="1" applyFont="1" applyFill="1" applyBorder="1" applyAlignment="1">
      <alignment horizontal="center" vertical="center"/>
    </xf>
    <xf numFmtId="0" fontId="2" fillId="0" borderId="0" xfId="197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4" fontId="14" fillId="0" borderId="6" xfId="97" applyNumberFormat="1" applyFont="1" applyFill="1" applyBorder="1" applyAlignment="1">
      <alignment horizontal="center" vertical="center"/>
    </xf>
    <xf numFmtId="164" fontId="16" fillId="0" borderId="0" xfId="97" applyNumberFormat="1" applyFont="1" applyFill="1" applyBorder="1" applyAlignment="1">
      <alignment horizontal="center" vertical="center"/>
    </xf>
    <xf numFmtId="164" fontId="16" fillId="0" borderId="3" xfId="97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4" fillId="0" borderId="3" xfId="97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3" fillId="0" borderId="0" xfId="97" applyNumberFormat="1" applyFont="1" applyAlignment="1">
      <alignment horizontal="center" vertical="center"/>
    </xf>
    <xf numFmtId="164" fontId="2" fillId="0" borderId="0" xfId="97" applyNumberFormat="1" applyFont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164" fontId="3" fillId="7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" fontId="14" fillId="3" borderId="6" xfId="0" applyNumberFormat="1" applyFont="1" applyFill="1" applyBorder="1" applyAlignment="1">
      <alignment horizontal="center" vertical="center"/>
    </xf>
    <xf numFmtId="164" fontId="2" fillId="0" borderId="0" xfId="97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6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6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9" fontId="14" fillId="0" borderId="0" xfId="98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2" fontId="16" fillId="0" borderId="0" xfId="0" applyNumberFormat="1" applyFont="1" applyFill="1" applyAlignment="1">
      <alignment vertical="center"/>
    </xf>
    <xf numFmtId="0" fontId="16" fillId="0" borderId="6" xfId="0" applyFont="1" applyFill="1" applyBorder="1" applyAlignment="1">
      <alignment vertical="center"/>
    </xf>
    <xf numFmtId="164" fontId="2" fillId="3" borderId="3" xfId="97" applyNumberFormat="1" applyFont="1" applyFill="1" applyBorder="1" applyAlignment="1">
      <alignment horizontal="center" vertical="center"/>
    </xf>
    <xf numFmtId="9" fontId="2" fillId="0" borderId="0" xfId="98" applyFont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164" fontId="2" fillId="2" borderId="0" xfId="97" applyNumberFormat="1" applyFont="1" applyFill="1" applyAlignment="1">
      <alignment horizontal="center" vertical="center"/>
    </xf>
    <xf numFmtId="9" fontId="2" fillId="0" borderId="3" xfId="98" applyFont="1" applyBorder="1" applyAlignment="1">
      <alignment vertical="center"/>
    </xf>
    <xf numFmtId="9" fontId="3" fillId="3" borderId="3" xfId="98" applyFont="1" applyFill="1" applyBorder="1" applyAlignment="1">
      <alignment vertical="center"/>
    </xf>
    <xf numFmtId="9" fontId="3" fillId="0" borderId="3" xfId="98" applyFont="1" applyBorder="1" applyAlignment="1">
      <alignment vertical="center"/>
    </xf>
    <xf numFmtId="9" fontId="2" fillId="0" borderId="6" xfId="98" applyFont="1" applyBorder="1" applyAlignment="1">
      <alignment vertical="center"/>
    </xf>
    <xf numFmtId="9" fontId="3" fillId="3" borderId="6" xfId="98" applyFont="1" applyFill="1" applyBorder="1" applyAlignment="1">
      <alignment vertical="center"/>
    </xf>
    <xf numFmtId="9" fontId="3" fillId="0" borderId="6" xfId="98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3" fillId="0" borderId="3" xfId="97" applyNumberFormat="1" applyFont="1" applyBorder="1" applyAlignment="1">
      <alignment vertical="center"/>
    </xf>
    <xf numFmtId="164" fontId="3" fillId="3" borderId="3" xfId="97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vertical="center" wrapText="1"/>
    </xf>
    <xf numFmtId="164" fontId="2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6" fillId="8" borderId="0" xfId="0" applyFont="1" applyFill="1" applyBorder="1" applyAlignment="1">
      <alignment vertical="center" wrapText="1"/>
    </xf>
    <xf numFmtId="164" fontId="2" fillId="8" borderId="0" xfId="0" applyNumberFormat="1" applyFont="1" applyFill="1" applyAlignment="1">
      <alignment vertical="center"/>
    </xf>
    <xf numFmtId="164" fontId="3" fillId="8" borderId="0" xfId="0" applyNumberFormat="1" applyFont="1" applyFill="1" applyAlignment="1">
      <alignment vertical="center"/>
    </xf>
    <xf numFmtId="9" fontId="2" fillId="4" borderId="0" xfId="98" applyFont="1" applyFill="1" applyAlignment="1">
      <alignment vertical="center"/>
    </xf>
    <xf numFmtId="9" fontId="2" fillId="8" borderId="0" xfId="98" applyFont="1" applyFill="1" applyAlignment="1">
      <alignment vertical="center"/>
    </xf>
    <xf numFmtId="9" fontId="3" fillId="4" borderId="0" xfId="98" applyFont="1" applyFill="1" applyAlignment="1">
      <alignment vertical="center"/>
    </xf>
    <xf numFmtId="9" fontId="3" fillId="8" borderId="0" xfId="98" applyFont="1" applyFill="1" applyAlignment="1">
      <alignment vertical="center"/>
    </xf>
    <xf numFmtId="0" fontId="2" fillId="0" borderId="0" xfId="197" applyFont="1" applyAlignment="1">
      <alignment horizontal="left" vertical="center"/>
    </xf>
    <xf numFmtId="164" fontId="2" fillId="9" borderId="3" xfId="97" applyNumberFormat="1" applyFont="1" applyFill="1" applyBorder="1" applyAlignment="1">
      <alignment horizontal="center" vertical="center"/>
    </xf>
    <xf numFmtId="0" fontId="2" fillId="0" borderId="1" xfId="197" applyFont="1" applyBorder="1" applyAlignment="1">
      <alignment horizontal="center" vertical="center" wrapText="1"/>
    </xf>
    <xf numFmtId="0" fontId="2" fillId="0" borderId="2" xfId="197" applyFont="1" applyBorder="1" applyAlignment="1">
      <alignment horizontal="center" vertical="center" wrapText="1"/>
    </xf>
    <xf numFmtId="0" fontId="2" fillId="0" borderId="1" xfId="197" applyFont="1" applyBorder="1" applyAlignment="1">
      <alignment horizontal="center" vertical="center"/>
    </xf>
    <xf numFmtId="0" fontId="3" fillId="0" borderId="1" xfId="197" applyFont="1" applyFill="1" applyBorder="1" applyAlignment="1">
      <alignment horizontal="center" vertical="center" wrapText="1"/>
    </xf>
    <xf numFmtId="0" fontId="3" fillId="0" borderId="2" xfId="197" applyFont="1" applyFill="1" applyBorder="1" applyAlignment="1">
      <alignment horizontal="center" vertical="center" wrapText="1"/>
    </xf>
    <xf numFmtId="0" fontId="3" fillId="0" borderId="1" xfId="197" applyFont="1" applyFill="1" applyBorder="1" applyAlignment="1">
      <alignment horizontal="center" vertical="center"/>
    </xf>
    <xf numFmtId="0" fontId="3" fillId="0" borderId="5" xfId="197" applyFont="1" applyFill="1" applyBorder="1" applyAlignment="1">
      <alignment horizontal="center" vertical="center"/>
    </xf>
    <xf numFmtId="0" fontId="3" fillId="0" borderId="6" xfId="197" applyFont="1" applyFill="1" applyBorder="1" applyAlignment="1">
      <alignment horizontal="center" vertical="center"/>
    </xf>
    <xf numFmtId="0" fontId="3" fillId="0" borderId="7" xfId="197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80">
    <cellStyle name="Comma" xfId="9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Normal" xfId="0" builtinId="0"/>
    <cellStyle name="Normal 2" xfId="197"/>
    <cellStyle name="Percent" xfId="98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zoomScale="125" zoomScaleNormal="125" zoomScalePageLayoutView="125" workbookViewId="0">
      <selection activeCell="C8" sqref="C8"/>
    </sheetView>
  </sheetViews>
  <sheetFormatPr baseColWidth="10" defaultRowHeight="15" x14ac:dyDescent="0"/>
  <cols>
    <col min="1" max="1" width="5.33203125" style="1" customWidth="1"/>
    <col min="2" max="2" width="27.1640625" style="1" bestFit="1" customWidth="1"/>
    <col min="3" max="3" width="100" style="1" customWidth="1"/>
    <col min="4" max="4" width="33" style="1" customWidth="1"/>
    <col min="5" max="16384" width="10.83203125" style="1"/>
  </cols>
  <sheetData>
    <row r="2" spans="1:4">
      <c r="A2" s="2" t="s">
        <v>189</v>
      </c>
      <c r="B2" s="2" t="s">
        <v>185</v>
      </c>
      <c r="C2" s="2" t="s">
        <v>187</v>
      </c>
      <c r="D2" s="2" t="s">
        <v>202</v>
      </c>
    </row>
    <row r="3" spans="1:4" ht="66" customHeight="1">
      <c r="A3" s="1">
        <v>1</v>
      </c>
      <c r="B3" s="1" t="s">
        <v>186</v>
      </c>
      <c r="C3" s="3" t="s">
        <v>190</v>
      </c>
      <c r="D3" s="1" t="s">
        <v>206</v>
      </c>
    </row>
    <row r="4" spans="1:4" ht="75" customHeight="1">
      <c r="A4" s="1">
        <v>2</v>
      </c>
      <c r="B4" s="1" t="s">
        <v>101</v>
      </c>
      <c r="C4" s="156" t="s">
        <v>205</v>
      </c>
      <c r="D4" s="155" t="s">
        <v>209</v>
      </c>
    </row>
    <row r="5" spans="1:4" ht="75" customHeight="1">
      <c r="A5" s="1">
        <v>3</v>
      </c>
      <c r="B5" s="1" t="s">
        <v>107</v>
      </c>
      <c r="C5" s="156"/>
      <c r="D5" s="155"/>
    </row>
    <row r="6" spans="1:4" ht="59" customHeight="1">
      <c r="A6" s="1">
        <v>4</v>
      </c>
      <c r="B6" s="1" t="s">
        <v>191</v>
      </c>
      <c r="C6" s="156" t="s">
        <v>194</v>
      </c>
      <c r="D6" s="158" t="s">
        <v>201</v>
      </c>
    </row>
    <row r="7" spans="1:4" ht="59" customHeight="1">
      <c r="A7" s="1">
        <v>5</v>
      </c>
      <c r="B7" s="1" t="s">
        <v>192</v>
      </c>
      <c r="C7" s="156"/>
      <c r="D7" s="158"/>
    </row>
    <row r="8" spans="1:4" ht="254" customHeight="1">
      <c r="A8" s="1">
        <v>6</v>
      </c>
      <c r="B8" s="1" t="s">
        <v>195</v>
      </c>
      <c r="C8" s="3" t="s">
        <v>196</v>
      </c>
      <c r="D8" s="1" t="s">
        <v>203</v>
      </c>
    </row>
    <row r="9" spans="1:4" ht="133" customHeight="1">
      <c r="A9" s="1">
        <v>7</v>
      </c>
      <c r="B9" s="1" t="s">
        <v>197</v>
      </c>
      <c r="C9" s="3" t="s">
        <v>204</v>
      </c>
      <c r="D9" s="1" t="s">
        <v>207</v>
      </c>
    </row>
    <row r="10" spans="1:4" ht="304" customHeight="1">
      <c r="A10" s="1">
        <v>8</v>
      </c>
      <c r="B10" s="1" t="s">
        <v>198</v>
      </c>
      <c r="C10" s="157" t="s">
        <v>200</v>
      </c>
      <c r="D10" s="2" t="s">
        <v>208</v>
      </c>
    </row>
  </sheetData>
  <mergeCells count="4">
    <mergeCell ref="C4:C5"/>
    <mergeCell ref="C6:C7"/>
    <mergeCell ref="D4:D5"/>
    <mergeCell ref="D6:D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125" zoomScaleNormal="125" zoomScalePageLayoutView="125" workbookViewId="0">
      <selection activeCell="D4" sqref="D4"/>
    </sheetView>
  </sheetViews>
  <sheetFormatPr baseColWidth="10" defaultRowHeight="15" x14ac:dyDescent="0"/>
  <cols>
    <col min="1" max="1" width="5.1640625" style="53" customWidth="1"/>
    <col min="2" max="2" width="59.33203125" style="51" customWidth="1"/>
    <col min="3" max="3" width="18.33203125" style="51" customWidth="1"/>
    <col min="4" max="4" width="12.5" style="53" bestFit="1" customWidth="1"/>
    <col min="5" max="16384" width="10.83203125" style="53"/>
  </cols>
  <sheetData>
    <row r="1" spans="2:5">
      <c r="B1" s="74" t="s">
        <v>161</v>
      </c>
    </row>
    <row r="3" spans="2:5">
      <c r="B3" s="75" t="s">
        <v>159</v>
      </c>
      <c r="C3" s="75" t="s">
        <v>0</v>
      </c>
      <c r="D3" s="75" t="s">
        <v>160</v>
      </c>
      <c r="E3" s="75"/>
    </row>
    <row r="4" spans="2:5">
      <c r="B4" s="50" t="s">
        <v>157</v>
      </c>
      <c r="C4" s="52" t="s">
        <v>10</v>
      </c>
      <c r="D4" s="52">
        <v>1</v>
      </c>
    </row>
    <row r="5" spans="2:5">
      <c r="B5" s="50" t="s">
        <v>138</v>
      </c>
      <c r="C5" s="52" t="s">
        <v>15</v>
      </c>
      <c r="D5" s="54">
        <v>280</v>
      </c>
      <c r="E5" s="53">
        <v>100</v>
      </c>
    </row>
    <row r="6" spans="2:5">
      <c r="B6" s="50" t="s">
        <v>144</v>
      </c>
      <c r="C6" s="52" t="s">
        <v>15</v>
      </c>
      <c r="D6" s="54">
        <f>D5*0.85</f>
        <v>238</v>
      </c>
      <c r="E6" s="54">
        <f>E5*0.85</f>
        <v>85</v>
      </c>
    </row>
    <row r="7" spans="2:5">
      <c r="B7" s="50" t="s">
        <v>139</v>
      </c>
      <c r="C7" s="52" t="s">
        <v>117</v>
      </c>
      <c r="D7" s="55">
        <v>40000</v>
      </c>
    </row>
    <row r="8" spans="2:5">
      <c r="B8" s="50" t="s">
        <v>162</v>
      </c>
      <c r="C8" s="52" t="s">
        <v>117</v>
      </c>
      <c r="D8" s="55">
        <v>1500</v>
      </c>
    </row>
    <row r="9" spans="2:5">
      <c r="B9" s="50" t="s">
        <v>140</v>
      </c>
      <c r="C9" s="52" t="s">
        <v>117</v>
      </c>
      <c r="D9" s="55">
        <v>4000</v>
      </c>
    </row>
    <row r="10" spans="2:5">
      <c r="B10" s="50" t="s">
        <v>141</v>
      </c>
      <c r="C10" s="52" t="s">
        <v>117</v>
      </c>
      <c r="D10" s="55">
        <v>500</v>
      </c>
    </row>
    <row r="11" spans="2:5">
      <c r="B11" s="50" t="s">
        <v>142</v>
      </c>
      <c r="C11" s="52" t="s">
        <v>117</v>
      </c>
      <c r="D11" s="55">
        <v>250</v>
      </c>
    </row>
    <row r="12" spans="2:5">
      <c r="B12" s="63" t="s">
        <v>143</v>
      </c>
      <c r="C12" s="52" t="s">
        <v>117</v>
      </c>
      <c r="D12" s="64">
        <v>2000</v>
      </c>
    </row>
    <row r="13" spans="2:5">
      <c r="B13" s="50"/>
      <c r="C13" s="52"/>
      <c r="D13" s="55"/>
    </row>
    <row r="14" spans="2:5">
      <c r="B14" s="84" t="s">
        <v>188</v>
      </c>
      <c r="C14" s="85" t="s">
        <v>158</v>
      </c>
      <c r="D14" s="86">
        <v>0.2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125" zoomScaleNormal="125" zoomScalePageLayoutView="125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D53" sqref="D53"/>
    </sheetView>
  </sheetViews>
  <sheetFormatPr baseColWidth="10" defaultRowHeight="15" x14ac:dyDescent="0"/>
  <cols>
    <col min="1" max="1" width="8.5" style="1" customWidth="1"/>
    <col min="2" max="2" width="57" style="1" customWidth="1"/>
    <col min="3" max="3" width="12.5" style="1" customWidth="1"/>
    <col min="4" max="4" width="9.33203125" style="1" customWidth="1"/>
    <col min="5" max="5" width="15.33203125" style="1" customWidth="1"/>
    <col min="6" max="6" width="14.6640625" style="1" customWidth="1"/>
    <col min="7" max="7" width="62" style="1" customWidth="1"/>
    <col min="8" max="16384" width="10.83203125" style="1"/>
  </cols>
  <sheetData>
    <row r="1" spans="1:7">
      <c r="B1" s="2" t="s">
        <v>99</v>
      </c>
      <c r="C1" s="62">
        <f>параметры!D5</f>
        <v>280</v>
      </c>
      <c r="E1" s="1" t="s">
        <v>100</v>
      </c>
      <c r="F1" s="1" t="s">
        <v>101</v>
      </c>
    </row>
    <row r="3" spans="1:7" ht="45">
      <c r="A3" s="1" t="s">
        <v>13</v>
      </c>
      <c r="B3" s="1" t="s">
        <v>40</v>
      </c>
      <c r="C3" s="1" t="s">
        <v>0</v>
      </c>
      <c r="D3" s="1" t="s">
        <v>4</v>
      </c>
      <c r="E3" s="1" t="s">
        <v>8</v>
      </c>
      <c r="F3" s="1" t="s">
        <v>21</v>
      </c>
      <c r="G3" s="1" t="s">
        <v>37</v>
      </c>
    </row>
    <row r="4" spans="1:7">
      <c r="A4" s="15" t="s">
        <v>1</v>
      </c>
      <c r="B4" s="16"/>
      <c r="C4" s="16"/>
      <c r="D4" s="16"/>
      <c r="E4" s="16"/>
      <c r="F4" s="14">
        <f>F5+F12+F20+F28+F43+F52+F58+F67</f>
        <v>4807726.9649122804</v>
      </c>
    </row>
    <row r="5" spans="1:7">
      <c r="A5" s="2">
        <v>1</v>
      </c>
      <c r="B5" s="2" t="s">
        <v>7</v>
      </c>
      <c r="F5" s="8">
        <f>SUM(F6+F9)</f>
        <v>307500</v>
      </c>
    </row>
    <row r="6" spans="1:7">
      <c r="A6" s="4">
        <v>1.1000000000000001</v>
      </c>
      <c r="B6" s="4" t="s">
        <v>6</v>
      </c>
      <c r="C6" s="1" t="s">
        <v>51</v>
      </c>
      <c r="D6" s="1">
        <v>1</v>
      </c>
      <c r="F6" s="9">
        <f>SUM(F7:F8)</f>
        <v>205000</v>
      </c>
    </row>
    <row r="7" spans="1:7">
      <c r="B7" s="3" t="s">
        <v>5</v>
      </c>
      <c r="C7" s="1" t="s">
        <v>51</v>
      </c>
      <c r="D7" s="1">
        <v>1</v>
      </c>
      <c r="E7" s="1">
        <v>100000</v>
      </c>
      <c r="F7" s="10">
        <f>D7*E7</f>
        <v>100000</v>
      </c>
    </row>
    <row r="8" spans="1:7">
      <c r="B8" s="3" t="s">
        <v>2</v>
      </c>
      <c r="C8" s="1" t="s">
        <v>3</v>
      </c>
      <c r="D8" s="1">
        <v>30</v>
      </c>
      <c r="E8" s="1">
        <v>3500</v>
      </c>
      <c r="F8" s="10">
        <f>D8*E8</f>
        <v>105000</v>
      </c>
      <c r="G8" s="1" t="s">
        <v>102</v>
      </c>
    </row>
    <row r="9" spans="1:7">
      <c r="A9" s="4">
        <v>1.2</v>
      </c>
      <c r="B9" s="4" t="s">
        <v>128</v>
      </c>
      <c r="C9" s="1" t="s">
        <v>51</v>
      </c>
      <c r="D9" s="1">
        <v>1</v>
      </c>
      <c r="F9" s="9">
        <f>SUM(F10:F11)</f>
        <v>102500</v>
      </c>
    </row>
    <row r="10" spans="1:7">
      <c r="B10" s="3" t="s">
        <v>5</v>
      </c>
      <c r="C10" s="1" t="s">
        <v>51</v>
      </c>
      <c r="D10" s="1">
        <v>1</v>
      </c>
      <c r="E10" s="1">
        <v>50000</v>
      </c>
      <c r="F10" s="10">
        <f t="shared" ref="F10:F11" si="0">D10*E10</f>
        <v>50000</v>
      </c>
    </row>
    <row r="11" spans="1:7">
      <c r="B11" s="3" t="s">
        <v>2</v>
      </c>
      <c r="C11" s="1" t="s">
        <v>3</v>
      </c>
      <c r="D11" s="1">
        <v>15</v>
      </c>
      <c r="E11" s="1">
        <v>3500</v>
      </c>
      <c r="F11" s="10">
        <f t="shared" si="0"/>
        <v>52500</v>
      </c>
      <c r="G11" s="1" t="s">
        <v>103</v>
      </c>
    </row>
    <row r="12" spans="1:7">
      <c r="A12" s="2">
        <v>2</v>
      </c>
      <c r="B12" s="2" t="s">
        <v>9</v>
      </c>
      <c r="F12" s="8">
        <f>SUM(F13+F16)</f>
        <v>55350</v>
      </c>
    </row>
    <row r="13" spans="1:7" ht="30">
      <c r="A13" s="4">
        <v>2.1</v>
      </c>
      <c r="B13" s="1" t="s">
        <v>11</v>
      </c>
      <c r="C13" s="1" t="s">
        <v>10</v>
      </c>
      <c r="D13" s="1">
        <v>0.18</v>
      </c>
      <c r="F13" s="9">
        <f>SUM(F14:F15)</f>
        <v>36900</v>
      </c>
      <c r="G13" s="1" t="s">
        <v>63</v>
      </c>
    </row>
    <row r="14" spans="1:7">
      <c r="B14" s="3" t="s">
        <v>5</v>
      </c>
      <c r="C14" s="1" t="s">
        <v>51</v>
      </c>
      <c r="D14" s="1">
        <v>1</v>
      </c>
      <c r="E14" s="5">
        <v>100000</v>
      </c>
      <c r="F14" s="10">
        <f>E14*D13</f>
        <v>18000</v>
      </c>
    </row>
    <row r="15" spans="1:7">
      <c r="B15" s="3" t="s">
        <v>2</v>
      </c>
      <c r="C15" s="1" t="s">
        <v>3</v>
      </c>
      <c r="D15" s="5">
        <f>D8*D13</f>
        <v>5.3999999999999995</v>
      </c>
      <c r="E15" s="1">
        <v>3500</v>
      </c>
      <c r="F15" s="10">
        <f t="shared" ref="F15:F19" si="1">D15*E15</f>
        <v>18899.999999999996</v>
      </c>
      <c r="G15" s="1" t="s">
        <v>102</v>
      </c>
    </row>
    <row r="16" spans="1:7">
      <c r="A16" s="4">
        <v>2.2000000000000002</v>
      </c>
      <c r="B16" s="4" t="s">
        <v>128</v>
      </c>
      <c r="C16" s="1" t="s">
        <v>51</v>
      </c>
      <c r="D16" s="1">
        <v>1</v>
      </c>
      <c r="F16" s="9">
        <f>SUM(F18:F19)</f>
        <v>18450</v>
      </c>
    </row>
    <row r="17" spans="1:7">
      <c r="A17" s="4"/>
      <c r="B17" s="1" t="s">
        <v>11</v>
      </c>
      <c r="C17" s="1" t="s">
        <v>10</v>
      </c>
      <c r="D17" s="5">
        <f>D13</f>
        <v>0.18</v>
      </c>
      <c r="F17" s="9"/>
    </row>
    <row r="18" spans="1:7">
      <c r="B18" s="3" t="s">
        <v>5</v>
      </c>
      <c r="C18" s="1" t="s">
        <v>51</v>
      </c>
      <c r="D18" s="1">
        <v>1</v>
      </c>
      <c r="E18" s="1">
        <v>50000</v>
      </c>
      <c r="F18" s="10">
        <f>E18*D17</f>
        <v>9000</v>
      </c>
    </row>
    <row r="19" spans="1:7">
      <c r="B19" s="3" t="s">
        <v>2</v>
      </c>
      <c r="C19" s="1" t="s">
        <v>3</v>
      </c>
      <c r="D19" s="5">
        <f>D17*D11</f>
        <v>2.6999999999999997</v>
      </c>
      <c r="E19" s="1">
        <v>3500</v>
      </c>
      <c r="F19" s="10">
        <f t="shared" si="1"/>
        <v>9449.9999999999982</v>
      </c>
      <c r="G19" s="1" t="s">
        <v>103</v>
      </c>
    </row>
    <row r="20" spans="1:7" ht="30">
      <c r="A20" s="2">
        <v>3</v>
      </c>
      <c r="B20" s="2" t="s">
        <v>12</v>
      </c>
      <c r="C20" s="1" t="s">
        <v>51</v>
      </c>
      <c r="D20" s="1">
        <v>1</v>
      </c>
      <c r="F20" s="8">
        <f>F21+F24</f>
        <v>271800</v>
      </c>
      <c r="G20" s="1" t="s">
        <v>65</v>
      </c>
    </row>
    <row r="21" spans="1:7" ht="30">
      <c r="A21" s="4">
        <v>3.1</v>
      </c>
      <c r="B21" s="1" t="s">
        <v>11</v>
      </c>
      <c r="C21" s="1" t="s">
        <v>10</v>
      </c>
      <c r="D21" s="1">
        <v>0.24</v>
      </c>
      <c r="F21" s="9">
        <f>SUM(F22:F23)</f>
        <v>247199.99999999997</v>
      </c>
      <c r="G21" s="1" t="s">
        <v>64</v>
      </c>
    </row>
    <row r="22" spans="1:7">
      <c r="B22" s="3" t="s">
        <v>5</v>
      </c>
      <c r="C22" s="1" t="s">
        <v>51</v>
      </c>
      <c r="D22" s="1">
        <v>4</v>
      </c>
      <c r="E22" s="5">
        <f>D21*E7</f>
        <v>24000</v>
      </c>
      <c r="F22" s="10">
        <f t="shared" ref="F22:F23" si="2">D22*E22</f>
        <v>96000</v>
      </c>
    </row>
    <row r="23" spans="1:7" ht="30">
      <c r="B23" s="3" t="s">
        <v>2</v>
      </c>
      <c r="C23" s="1" t="s">
        <v>3</v>
      </c>
      <c r="D23" s="5">
        <f>D8*D21*1.5*4</f>
        <v>43.199999999999996</v>
      </c>
      <c r="E23" s="1">
        <v>3500</v>
      </c>
      <c r="F23" s="10">
        <f t="shared" si="2"/>
        <v>151199.99999999997</v>
      </c>
      <c r="G23" s="1" t="s">
        <v>104</v>
      </c>
    </row>
    <row r="24" spans="1:7">
      <c r="A24" s="4">
        <v>3.2</v>
      </c>
      <c r="B24" s="4" t="s">
        <v>128</v>
      </c>
      <c r="C24" s="1" t="s">
        <v>51</v>
      </c>
      <c r="D24" s="5">
        <v>1</v>
      </c>
      <c r="F24" s="9">
        <f>F25</f>
        <v>24600</v>
      </c>
    </row>
    <row r="25" spans="1:7">
      <c r="B25" s="1" t="s">
        <v>11</v>
      </c>
      <c r="C25" s="1" t="s">
        <v>10</v>
      </c>
      <c r="D25" s="5">
        <f>D21</f>
        <v>0.24</v>
      </c>
      <c r="F25" s="10">
        <f>F26+F27</f>
        <v>24600</v>
      </c>
    </row>
    <row r="26" spans="1:7">
      <c r="B26" s="3" t="s">
        <v>5</v>
      </c>
      <c r="C26" s="1" t="s">
        <v>51</v>
      </c>
      <c r="D26" s="5">
        <v>1</v>
      </c>
      <c r="E26" s="1">
        <v>50000</v>
      </c>
      <c r="F26" s="10">
        <f>D26*E26*D25</f>
        <v>12000</v>
      </c>
    </row>
    <row r="27" spans="1:7">
      <c r="B27" s="3" t="s">
        <v>2</v>
      </c>
      <c r="C27" s="1" t="s">
        <v>3</v>
      </c>
      <c r="D27" s="5">
        <f>D25*D11</f>
        <v>3.5999999999999996</v>
      </c>
      <c r="E27" s="1">
        <v>3500</v>
      </c>
      <c r="F27" s="10">
        <f t="shared" ref="F27" si="3">D27*E27</f>
        <v>12599.999999999998</v>
      </c>
      <c r="G27" s="1" t="s">
        <v>103</v>
      </c>
    </row>
    <row r="28" spans="1:7">
      <c r="A28" s="2">
        <v>4</v>
      </c>
      <c r="B28" s="2" t="s">
        <v>25</v>
      </c>
      <c r="D28" s="11"/>
      <c r="F28" s="8">
        <f>SUM(F29+F32+F35+F38+F41)</f>
        <v>1415000</v>
      </c>
    </row>
    <row r="29" spans="1:7" ht="30">
      <c r="A29" s="4">
        <v>4.0999999999999996</v>
      </c>
      <c r="B29" s="4" t="s">
        <v>66</v>
      </c>
      <c r="C29" s="1" t="s">
        <v>51</v>
      </c>
      <c r="D29" s="1">
        <v>1</v>
      </c>
      <c r="F29" s="9">
        <f>F31</f>
        <v>280000</v>
      </c>
      <c r="G29" s="1" t="s">
        <v>67</v>
      </c>
    </row>
    <row r="30" spans="1:7">
      <c r="B30" s="3" t="s">
        <v>14</v>
      </c>
      <c r="C30" s="1" t="s">
        <v>15</v>
      </c>
      <c r="D30" s="12">
        <f>C1</f>
        <v>280</v>
      </c>
      <c r="F30" s="10"/>
    </row>
    <row r="31" spans="1:7">
      <c r="B31" s="3" t="s">
        <v>16</v>
      </c>
      <c r="C31" s="1" t="s">
        <v>54</v>
      </c>
      <c r="D31" s="5">
        <f>D30/25</f>
        <v>11.2</v>
      </c>
      <c r="E31" s="1">
        <v>25000</v>
      </c>
      <c r="F31" s="10">
        <f t="shared" ref="F31" si="4">D31*E31</f>
        <v>280000</v>
      </c>
      <c r="G31" s="1" t="s">
        <v>68</v>
      </c>
    </row>
    <row r="32" spans="1:7">
      <c r="A32" s="4">
        <v>4.2</v>
      </c>
      <c r="B32" s="4" t="s">
        <v>17</v>
      </c>
      <c r="F32" s="9">
        <f>F34</f>
        <v>500000</v>
      </c>
    </row>
    <row r="33" spans="1:7" ht="75">
      <c r="B33" s="3" t="s">
        <v>18</v>
      </c>
      <c r="C33" s="1" t="s">
        <v>19</v>
      </c>
      <c r="D33" s="1">
        <v>400</v>
      </c>
      <c r="F33" s="10"/>
      <c r="G33" s="1" t="s">
        <v>69</v>
      </c>
    </row>
    <row r="34" spans="1:7">
      <c r="B34" s="3" t="s">
        <v>16</v>
      </c>
      <c r="C34" s="1" t="s">
        <v>54</v>
      </c>
      <c r="D34" s="5">
        <f>D33/20</f>
        <v>20</v>
      </c>
      <c r="E34" s="1">
        <v>25000</v>
      </c>
      <c r="F34" s="10">
        <f t="shared" ref="F34:F57" si="5">D34*E34</f>
        <v>500000</v>
      </c>
      <c r="G34" s="1" t="s">
        <v>70</v>
      </c>
    </row>
    <row r="35" spans="1:7" ht="30">
      <c r="A35" s="4">
        <v>4.3</v>
      </c>
      <c r="B35" s="4" t="s">
        <v>23</v>
      </c>
      <c r="F35" s="9">
        <f>SUM(F36:F37)</f>
        <v>215000</v>
      </c>
    </row>
    <row r="36" spans="1:7">
      <c r="B36" s="3" t="s">
        <v>22</v>
      </c>
      <c r="C36" s="1" t="s">
        <v>54</v>
      </c>
      <c r="D36" s="1">
        <v>3</v>
      </c>
      <c r="E36" s="1">
        <v>25000</v>
      </c>
      <c r="F36" s="10">
        <f t="shared" si="5"/>
        <v>75000</v>
      </c>
      <c r="G36" s="1" t="s">
        <v>71</v>
      </c>
    </row>
    <row r="37" spans="1:7" ht="30">
      <c r="B37" s="3" t="s">
        <v>20</v>
      </c>
      <c r="C37" s="1" t="s">
        <v>15</v>
      </c>
      <c r="D37" s="5">
        <f>C1</f>
        <v>280</v>
      </c>
      <c r="E37" s="1">
        <v>500</v>
      </c>
      <c r="F37" s="10">
        <f t="shared" si="5"/>
        <v>140000</v>
      </c>
      <c r="G37" s="1" t="s">
        <v>106</v>
      </c>
    </row>
    <row r="38" spans="1:7">
      <c r="A38" s="4">
        <v>4.4000000000000004</v>
      </c>
      <c r="B38" s="4" t="s">
        <v>151</v>
      </c>
      <c r="D38" s="11"/>
      <c r="F38" s="9">
        <f>F39+F40</f>
        <v>245000</v>
      </c>
    </row>
    <row r="39" spans="1:7">
      <c r="B39" s="3" t="s">
        <v>152</v>
      </c>
      <c r="C39" s="1" t="s">
        <v>15</v>
      </c>
      <c r="D39" s="5">
        <v>400</v>
      </c>
      <c r="E39" s="1">
        <v>300</v>
      </c>
      <c r="F39" s="10">
        <f t="shared" si="5"/>
        <v>120000</v>
      </c>
      <c r="G39" s="1" t="s">
        <v>154</v>
      </c>
    </row>
    <row r="40" spans="1:7">
      <c r="B40" s="3" t="s">
        <v>153</v>
      </c>
      <c r="C40" s="1" t="s">
        <v>54</v>
      </c>
      <c r="D40" s="5">
        <f>D39/80</f>
        <v>5</v>
      </c>
      <c r="E40" s="1">
        <v>25000</v>
      </c>
      <c r="F40" s="10">
        <f t="shared" si="5"/>
        <v>125000</v>
      </c>
      <c r="G40" s="1" t="s">
        <v>93</v>
      </c>
    </row>
    <row r="41" spans="1:7" ht="30">
      <c r="A41" s="4">
        <v>4.5</v>
      </c>
      <c r="B41" s="4" t="s">
        <v>24</v>
      </c>
      <c r="F41" s="9">
        <f>F42</f>
        <v>175000</v>
      </c>
      <c r="G41" s="1" t="s">
        <v>72</v>
      </c>
    </row>
    <row r="42" spans="1:7" ht="45">
      <c r="B42" s="3" t="s">
        <v>16</v>
      </c>
      <c r="C42" s="1" t="s">
        <v>54</v>
      </c>
      <c r="D42" s="1">
        <v>7</v>
      </c>
      <c r="E42" s="1">
        <v>25000</v>
      </c>
      <c r="F42" s="10">
        <f t="shared" si="5"/>
        <v>175000</v>
      </c>
      <c r="G42" s="1" t="s">
        <v>73</v>
      </c>
    </row>
    <row r="43" spans="1:7" ht="60">
      <c r="A43" s="2">
        <v>5</v>
      </c>
      <c r="B43" s="2" t="s">
        <v>26</v>
      </c>
      <c r="F43" s="8">
        <f>SUM(F44+F48)</f>
        <v>215550.87719298244</v>
      </c>
      <c r="G43" s="1" t="s">
        <v>74</v>
      </c>
    </row>
    <row r="44" spans="1:7">
      <c r="A44" s="4">
        <v>5.0999999999999996</v>
      </c>
      <c r="B44" s="4" t="s">
        <v>27</v>
      </c>
      <c r="F44" s="9">
        <f>SUM(F45:F47)</f>
        <v>170750.87719298244</v>
      </c>
    </row>
    <row r="45" spans="1:7">
      <c r="B45" s="3" t="s">
        <v>29</v>
      </c>
      <c r="C45" s="1" t="s">
        <v>28</v>
      </c>
      <c r="D45" s="5">
        <f>0.003*C1</f>
        <v>0.84</v>
      </c>
      <c r="E45" s="1">
        <v>60000</v>
      </c>
      <c r="F45" s="10">
        <f t="shared" si="5"/>
        <v>50400</v>
      </c>
      <c r="G45" s="1" t="s">
        <v>75</v>
      </c>
    </row>
    <row r="46" spans="1:7" ht="60">
      <c r="B46" s="3" t="s">
        <v>30</v>
      </c>
      <c r="C46" s="1" t="s">
        <v>54</v>
      </c>
      <c r="D46" s="24">
        <f>C1/150</f>
        <v>1.8666666666666667</v>
      </c>
      <c r="E46" s="1">
        <v>25000</v>
      </c>
      <c r="F46" s="10">
        <f t="shared" si="5"/>
        <v>46666.666666666664</v>
      </c>
      <c r="G46" s="1" t="s">
        <v>76</v>
      </c>
    </row>
    <row r="47" spans="1:7" ht="30">
      <c r="B47" s="3" t="s">
        <v>32</v>
      </c>
      <c r="C47" s="1" t="s">
        <v>54</v>
      </c>
      <c r="D47" s="25">
        <f>C1/95</f>
        <v>2.9473684210526314</v>
      </c>
      <c r="E47" s="1">
        <v>25000</v>
      </c>
      <c r="F47" s="10">
        <f t="shared" si="5"/>
        <v>73684.210526315786</v>
      </c>
      <c r="G47" s="1" t="s">
        <v>38</v>
      </c>
    </row>
    <row r="48" spans="1:7">
      <c r="A48" s="4">
        <v>5.2</v>
      </c>
      <c r="B48" s="4" t="s">
        <v>31</v>
      </c>
      <c r="F48" s="9">
        <f>SUM(F49:F51)</f>
        <v>44800</v>
      </c>
    </row>
    <row r="49" spans="1:7">
      <c r="B49" s="3" t="s">
        <v>33</v>
      </c>
      <c r="C49" s="1" t="s">
        <v>36</v>
      </c>
      <c r="D49" s="5">
        <f>0.05*C1</f>
        <v>14</v>
      </c>
      <c r="E49" s="1">
        <v>1200</v>
      </c>
      <c r="F49" s="10">
        <f t="shared" si="5"/>
        <v>16800</v>
      </c>
      <c r="G49" s="1" t="s">
        <v>94</v>
      </c>
    </row>
    <row r="50" spans="1:7">
      <c r="B50" s="3" t="s">
        <v>34</v>
      </c>
      <c r="C50" s="1" t="s">
        <v>36</v>
      </c>
      <c r="D50" s="5">
        <f>0.05*C1</f>
        <v>14</v>
      </c>
      <c r="E50" s="1">
        <v>1600</v>
      </c>
      <c r="F50" s="10">
        <f t="shared" si="5"/>
        <v>22400</v>
      </c>
      <c r="G50" s="1" t="s">
        <v>94</v>
      </c>
    </row>
    <row r="51" spans="1:7">
      <c r="B51" s="3" t="s">
        <v>35</v>
      </c>
      <c r="C51" s="1" t="s">
        <v>36</v>
      </c>
      <c r="D51" s="5">
        <f>0.025*C1</f>
        <v>7</v>
      </c>
      <c r="E51" s="1">
        <v>800</v>
      </c>
      <c r="F51" s="10">
        <f t="shared" si="5"/>
        <v>5600</v>
      </c>
      <c r="G51" s="1" t="s">
        <v>95</v>
      </c>
    </row>
    <row r="52" spans="1:7" ht="30">
      <c r="A52" s="2">
        <v>6</v>
      </c>
      <c r="B52" s="2" t="s">
        <v>41</v>
      </c>
      <c r="F52" s="8">
        <f>F53+F54</f>
        <v>927500</v>
      </c>
      <c r="G52" s="1" t="s">
        <v>156</v>
      </c>
    </row>
    <row r="53" spans="1:7">
      <c r="B53" s="3" t="s">
        <v>45</v>
      </c>
      <c r="C53" s="1" t="s">
        <v>15</v>
      </c>
      <c r="D53" s="5">
        <f>C1</f>
        <v>280</v>
      </c>
      <c r="E53" s="1">
        <v>3000</v>
      </c>
      <c r="F53" s="10">
        <f t="shared" si="5"/>
        <v>840000</v>
      </c>
      <c r="G53" s="1" t="s">
        <v>77</v>
      </c>
    </row>
    <row r="54" spans="1:7" ht="30">
      <c r="B54" s="3" t="s">
        <v>42</v>
      </c>
      <c r="C54" s="1" t="s">
        <v>54</v>
      </c>
      <c r="D54" s="5">
        <f>D53/80</f>
        <v>3.5</v>
      </c>
      <c r="E54" s="1">
        <v>25000</v>
      </c>
      <c r="F54" s="10">
        <f t="shared" si="5"/>
        <v>87500</v>
      </c>
      <c r="G54" s="1" t="s">
        <v>78</v>
      </c>
    </row>
    <row r="55" spans="1:7" hidden="1">
      <c r="A55" s="69">
        <v>6.2</v>
      </c>
      <c r="B55" s="69" t="s">
        <v>43</v>
      </c>
      <c r="C55" s="70"/>
      <c r="D55" s="70"/>
      <c r="E55" s="70"/>
      <c r="F55" s="71">
        <f>F56+F57</f>
        <v>107100</v>
      </c>
    </row>
    <row r="56" spans="1:7" hidden="1">
      <c r="A56" s="70"/>
      <c r="B56" s="72" t="s">
        <v>46</v>
      </c>
      <c r="C56" s="70" t="s">
        <v>44</v>
      </c>
      <c r="D56" s="70">
        <f>C1*5*0.7/1000</f>
        <v>0.97999999999999987</v>
      </c>
      <c r="E56" s="70">
        <v>20000</v>
      </c>
      <c r="F56" s="73">
        <f t="shared" si="5"/>
        <v>19599.999999999996</v>
      </c>
      <c r="G56" s="1" t="s">
        <v>49</v>
      </c>
    </row>
    <row r="57" spans="1:7" ht="30" hidden="1">
      <c r="A57" s="70"/>
      <c r="B57" s="72" t="s">
        <v>47</v>
      </c>
      <c r="C57" s="70" t="s">
        <v>54</v>
      </c>
      <c r="D57" s="70">
        <f>C1/80</f>
        <v>3.5</v>
      </c>
      <c r="E57" s="70">
        <v>25000</v>
      </c>
      <c r="F57" s="73">
        <f t="shared" si="5"/>
        <v>87500</v>
      </c>
      <c r="G57" s="1" t="s">
        <v>48</v>
      </c>
    </row>
    <row r="58" spans="1:7">
      <c r="A58" s="2">
        <v>7</v>
      </c>
      <c r="B58" s="2" t="s">
        <v>50</v>
      </c>
      <c r="F58" s="8">
        <f>F59+F61+F63</f>
        <v>1177960</v>
      </c>
    </row>
    <row r="59" spans="1:7">
      <c r="A59" s="4">
        <v>7.1</v>
      </c>
      <c r="B59" s="4" t="s">
        <v>55</v>
      </c>
      <c r="C59" s="1" t="s">
        <v>51</v>
      </c>
      <c r="D59" s="1">
        <v>5</v>
      </c>
      <c r="F59" s="9">
        <f>F60*D59</f>
        <v>875000</v>
      </c>
      <c r="G59" s="1" t="s">
        <v>52</v>
      </c>
    </row>
    <row r="60" spans="1:7">
      <c r="B60" s="3" t="s">
        <v>16</v>
      </c>
      <c r="C60" s="1" t="s">
        <v>54</v>
      </c>
      <c r="D60" s="1">
        <v>7</v>
      </c>
      <c r="E60" s="1">
        <v>25000</v>
      </c>
      <c r="F60" s="10">
        <f>E60*D60</f>
        <v>175000</v>
      </c>
      <c r="G60" s="1" t="s">
        <v>53</v>
      </c>
    </row>
    <row r="61" spans="1:7" ht="30">
      <c r="A61" s="4">
        <v>7.2</v>
      </c>
      <c r="B61" s="4" t="s">
        <v>56</v>
      </c>
      <c r="C61" s="1" t="s">
        <v>51</v>
      </c>
      <c r="D61" s="1">
        <v>4</v>
      </c>
      <c r="F61" s="9">
        <f>F62*D61</f>
        <v>280000</v>
      </c>
      <c r="G61" s="1" t="s">
        <v>57</v>
      </c>
    </row>
    <row r="62" spans="1:7">
      <c r="B62" s="3" t="s">
        <v>16</v>
      </c>
      <c r="C62" s="1" t="s">
        <v>54</v>
      </c>
      <c r="D62" s="5">
        <f>C1/100</f>
        <v>2.8</v>
      </c>
      <c r="E62" s="1">
        <v>25000</v>
      </c>
      <c r="F62" s="10">
        <f>E62*D62</f>
        <v>70000</v>
      </c>
      <c r="G62" s="1" t="s">
        <v>58</v>
      </c>
    </row>
    <row r="63" spans="1:7" ht="30">
      <c r="A63" s="4">
        <v>7.3</v>
      </c>
      <c r="B63" s="4" t="s">
        <v>59</v>
      </c>
      <c r="C63" s="1" t="s">
        <v>51</v>
      </c>
      <c r="D63" s="1">
        <v>2</v>
      </c>
      <c r="F63" s="9">
        <f>(F65+F66)*D63</f>
        <v>22960</v>
      </c>
      <c r="G63" s="1" t="s">
        <v>60</v>
      </c>
    </row>
    <row r="64" spans="1:7">
      <c r="B64" s="3" t="s">
        <v>61</v>
      </c>
      <c r="C64" s="1" t="s">
        <v>10</v>
      </c>
      <c r="D64" s="5">
        <f>400*1.4/10000</f>
        <v>5.6000000000000001E-2</v>
      </c>
      <c r="F64" s="10"/>
      <c r="G64" s="1" t="s">
        <v>62</v>
      </c>
    </row>
    <row r="65" spans="1:7">
      <c r="B65" s="3" t="s">
        <v>5</v>
      </c>
      <c r="C65" s="1" t="s">
        <v>51</v>
      </c>
      <c r="D65" s="1">
        <v>1</v>
      </c>
      <c r="E65" s="1">
        <v>100000</v>
      </c>
      <c r="F65" s="10">
        <f>E65*D64</f>
        <v>5600</v>
      </c>
    </row>
    <row r="66" spans="1:7">
      <c r="B66" s="3" t="s">
        <v>2</v>
      </c>
      <c r="C66" s="1" t="s">
        <v>3</v>
      </c>
      <c r="D66" s="1">
        <f>D64*D8</f>
        <v>1.68</v>
      </c>
      <c r="E66" s="1">
        <v>3500</v>
      </c>
      <c r="F66" s="10">
        <f t="shared" ref="F66" si="6">E66*D66*D65</f>
        <v>5880</v>
      </c>
      <c r="G66" s="1" t="s">
        <v>102</v>
      </c>
    </row>
    <row r="67" spans="1:7">
      <c r="A67" s="2">
        <v>8</v>
      </c>
      <c r="B67" s="2" t="s">
        <v>129</v>
      </c>
      <c r="C67" s="1" t="s">
        <v>89</v>
      </c>
      <c r="D67" s="1">
        <v>1</v>
      </c>
      <c r="E67" s="65">
        <f>(F5+F12+F20+F28+F43+F52+F58)*0.1</f>
        <v>437066.08771929826</v>
      </c>
      <c r="F67" s="8">
        <f>E67*D67</f>
        <v>437066.08771929826</v>
      </c>
      <c r="G67" s="1" t="s">
        <v>155</v>
      </c>
    </row>
    <row r="68" spans="1:7">
      <c r="F68" s="10"/>
    </row>
    <row r="69" spans="1:7">
      <c r="A69" s="15" t="s">
        <v>79</v>
      </c>
      <c r="B69" s="16"/>
      <c r="C69" s="16"/>
      <c r="D69" s="16"/>
      <c r="E69" s="16"/>
      <c r="F69" s="13">
        <f>F70+F73+F75+F77+F81</f>
        <v>1499806</v>
      </c>
    </row>
    <row r="70" spans="1:7" ht="30">
      <c r="A70" s="2">
        <v>1</v>
      </c>
      <c r="B70" s="2" t="s">
        <v>41</v>
      </c>
      <c r="F70" s="8">
        <f>F71+F72</f>
        <v>185500</v>
      </c>
      <c r="G70" s="1" t="s">
        <v>80</v>
      </c>
    </row>
    <row r="71" spans="1:7">
      <c r="B71" s="3" t="s">
        <v>81</v>
      </c>
      <c r="C71" s="1" t="s">
        <v>15</v>
      </c>
      <c r="D71" s="5">
        <f>C1*0.2</f>
        <v>56</v>
      </c>
      <c r="E71" s="1">
        <v>3000</v>
      </c>
      <c r="F71" s="10">
        <f>E71*D71</f>
        <v>168000</v>
      </c>
    </row>
    <row r="72" spans="1:7">
      <c r="B72" s="3" t="s">
        <v>42</v>
      </c>
      <c r="C72" s="1" t="s">
        <v>54</v>
      </c>
      <c r="D72" s="5">
        <f>D71/80</f>
        <v>0.7</v>
      </c>
      <c r="E72" s="1">
        <v>25000</v>
      </c>
      <c r="F72" s="10">
        <f>E72*D72</f>
        <v>17500</v>
      </c>
      <c r="G72" s="1" t="s">
        <v>93</v>
      </c>
    </row>
    <row r="73" spans="1:7">
      <c r="A73" s="2">
        <v>2</v>
      </c>
      <c r="B73" s="2" t="s">
        <v>55</v>
      </c>
      <c r="C73" s="1" t="s">
        <v>51</v>
      </c>
      <c r="D73" s="1">
        <v>5</v>
      </c>
      <c r="F73" s="8">
        <f>F74*D73</f>
        <v>875000</v>
      </c>
    </row>
    <row r="74" spans="1:7">
      <c r="B74" s="3" t="s">
        <v>16</v>
      </c>
      <c r="C74" s="1" t="s">
        <v>54</v>
      </c>
      <c r="D74" s="1">
        <v>7</v>
      </c>
      <c r="E74" s="1">
        <v>25000</v>
      </c>
      <c r="F74" s="10">
        <f>E74*D74</f>
        <v>175000</v>
      </c>
    </row>
    <row r="75" spans="1:7">
      <c r="A75" s="2">
        <v>3</v>
      </c>
      <c r="B75" s="2" t="s">
        <v>56</v>
      </c>
      <c r="C75" s="1" t="s">
        <v>51</v>
      </c>
      <c r="D75" s="1">
        <v>4</v>
      </c>
      <c r="F75" s="8">
        <f>F76*D75</f>
        <v>280000</v>
      </c>
    </row>
    <row r="76" spans="1:7">
      <c r="B76" s="3" t="s">
        <v>16</v>
      </c>
      <c r="C76" s="1" t="s">
        <v>54</v>
      </c>
      <c r="D76" s="5">
        <f>C1/100</f>
        <v>2.8</v>
      </c>
      <c r="E76" s="1">
        <v>25000</v>
      </c>
      <c r="F76" s="10">
        <f>E76*D76</f>
        <v>70000</v>
      </c>
    </row>
    <row r="77" spans="1:7">
      <c r="A77" s="2">
        <v>4</v>
      </c>
      <c r="B77" s="2" t="s">
        <v>59</v>
      </c>
      <c r="C77" s="1" t="s">
        <v>51</v>
      </c>
      <c r="D77" s="1">
        <v>2</v>
      </c>
      <c r="F77" s="8">
        <f>(F79+F80)*D77</f>
        <v>22960</v>
      </c>
    </row>
    <row r="78" spans="1:7">
      <c r="B78" s="3" t="s">
        <v>61</v>
      </c>
      <c r="C78" s="1" t="s">
        <v>10</v>
      </c>
      <c r="D78" s="5">
        <f>400*1.4/10000</f>
        <v>5.6000000000000001E-2</v>
      </c>
      <c r="F78" s="10"/>
    </row>
    <row r="79" spans="1:7">
      <c r="B79" s="3" t="s">
        <v>5</v>
      </c>
      <c r="C79" s="1" t="s">
        <v>51</v>
      </c>
      <c r="D79" s="1">
        <v>1</v>
      </c>
      <c r="E79" s="1">
        <v>100000</v>
      </c>
      <c r="F79" s="10">
        <f>D79*E79*D78</f>
        <v>5600</v>
      </c>
    </row>
    <row r="80" spans="1:7">
      <c r="B80" s="3" t="s">
        <v>2</v>
      </c>
      <c r="C80" s="1" t="s">
        <v>3</v>
      </c>
      <c r="D80" s="5">
        <f>D8*D78</f>
        <v>1.68</v>
      </c>
      <c r="E80" s="1">
        <v>3500</v>
      </c>
      <c r="F80" s="10">
        <f t="shared" ref="F80" si="7">E80*D80*D79</f>
        <v>5880</v>
      </c>
      <c r="G80" s="1" t="s">
        <v>102</v>
      </c>
    </row>
    <row r="81" spans="1:7">
      <c r="A81" s="2">
        <v>5</v>
      </c>
      <c r="B81" s="2" t="s">
        <v>129</v>
      </c>
      <c r="C81" s="1" t="s">
        <v>89</v>
      </c>
      <c r="D81" s="1">
        <v>1</v>
      </c>
      <c r="E81" s="65">
        <f>(F70+F73+F75+F77)*0.1</f>
        <v>136346</v>
      </c>
      <c r="F81" s="8">
        <f>E81*D81</f>
        <v>136346</v>
      </c>
      <c r="G81" s="1" t="s">
        <v>155</v>
      </c>
    </row>
    <row r="82" spans="1:7">
      <c r="F82" s="6"/>
    </row>
    <row r="83" spans="1:7">
      <c r="A83" s="18" t="s">
        <v>82</v>
      </c>
      <c r="B83" s="19"/>
      <c r="C83" s="19"/>
      <c r="D83" s="19"/>
      <c r="E83" s="19"/>
      <c r="F83" s="20">
        <f>F84+F86+F90+F92</f>
        <v>973500</v>
      </c>
    </row>
    <row r="84" spans="1:7">
      <c r="A84" s="2">
        <v>1</v>
      </c>
      <c r="B84" s="2" t="s">
        <v>56</v>
      </c>
      <c r="C84" s="1" t="s">
        <v>51</v>
      </c>
      <c r="D84" s="1">
        <v>4</v>
      </c>
      <c r="F84" s="8">
        <f>F85*D84</f>
        <v>280000</v>
      </c>
    </row>
    <row r="85" spans="1:7">
      <c r="B85" s="3" t="s">
        <v>16</v>
      </c>
      <c r="C85" s="1" t="s">
        <v>54</v>
      </c>
      <c r="D85" s="5">
        <f>C1/100</f>
        <v>2.8</v>
      </c>
      <c r="E85" s="1">
        <v>25000</v>
      </c>
      <c r="F85" s="10">
        <f>E85*D85</f>
        <v>70000</v>
      </c>
    </row>
    <row r="86" spans="1:7">
      <c r="A86" s="2">
        <v>2</v>
      </c>
      <c r="B86" s="2" t="s">
        <v>83</v>
      </c>
      <c r="C86" s="1" t="s">
        <v>51</v>
      </c>
      <c r="D86" s="1">
        <v>2</v>
      </c>
      <c r="F86" s="17">
        <f>(F87+F88+F89)*D86</f>
        <v>380000</v>
      </c>
      <c r="G86" s="1" t="s">
        <v>105</v>
      </c>
    </row>
    <row r="87" spans="1:7" ht="30">
      <c r="B87" s="3" t="s">
        <v>84</v>
      </c>
      <c r="C87" s="1" t="s">
        <v>15</v>
      </c>
      <c r="D87" s="5">
        <f>C1/5</f>
        <v>56</v>
      </c>
      <c r="E87" s="1">
        <v>1500</v>
      </c>
      <c r="F87" s="10">
        <f>E87*D87</f>
        <v>84000</v>
      </c>
      <c r="G87" s="1" t="s">
        <v>85</v>
      </c>
    </row>
    <row r="88" spans="1:7">
      <c r="B88" s="3" t="s">
        <v>86</v>
      </c>
      <c r="C88" s="1" t="s">
        <v>51</v>
      </c>
      <c r="D88" s="1">
        <f>C1</f>
        <v>280</v>
      </c>
      <c r="E88" s="1">
        <v>200</v>
      </c>
      <c r="F88" s="10">
        <f>E88*D88</f>
        <v>56000</v>
      </c>
      <c r="G88" s="1" t="s">
        <v>87</v>
      </c>
    </row>
    <row r="89" spans="1:7" ht="30">
      <c r="B89" s="3" t="s">
        <v>88</v>
      </c>
      <c r="C89" s="1" t="s">
        <v>51</v>
      </c>
      <c r="D89" s="1">
        <v>1</v>
      </c>
      <c r="E89" s="1">
        <v>50000</v>
      </c>
      <c r="F89" s="10">
        <f>E89*D89</f>
        <v>50000</v>
      </c>
      <c r="G89" s="1" t="s">
        <v>96</v>
      </c>
    </row>
    <row r="90" spans="1:7">
      <c r="A90" s="2">
        <v>3</v>
      </c>
      <c r="B90" s="2" t="s">
        <v>90</v>
      </c>
      <c r="C90" s="1" t="s">
        <v>51</v>
      </c>
      <c r="D90" s="1">
        <v>3</v>
      </c>
      <c r="F90" s="17">
        <f>D90*F91</f>
        <v>225000</v>
      </c>
      <c r="G90" s="1" t="s">
        <v>91</v>
      </c>
    </row>
    <row r="91" spans="1:7">
      <c r="B91" s="3" t="s">
        <v>16</v>
      </c>
      <c r="C91" s="1" t="s">
        <v>54</v>
      </c>
      <c r="D91" s="1">
        <v>3</v>
      </c>
      <c r="E91" s="1">
        <v>25000</v>
      </c>
      <c r="F91" s="10">
        <f>E91*D91</f>
        <v>75000</v>
      </c>
      <c r="G91" s="1" t="s">
        <v>92</v>
      </c>
    </row>
    <row r="92" spans="1:7">
      <c r="A92" s="2">
        <v>4</v>
      </c>
      <c r="B92" s="2" t="s">
        <v>129</v>
      </c>
      <c r="C92" s="1" t="s">
        <v>89</v>
      </c>
      <c r="D92" s="1">
        <v>1</v>
      </c>
      <c r="E92" s="65">
        <f>(F84+F86+F90)*0.1</f>
        <v>88500</v>
      </c>
      <c r="F92" s="8">
        <f>E92*D92</f>
        <v>88500</v>
      </c>
      <c r="G92" s="1" t="s">
        <v>155</v>
      </c>
    </row>
    <row r="94" spans="1:7">
      <c r="A94" s="15" t="s">
        <v>97</v>
      </c>
      <c r="B94" s="16"/>
      <c r="C94" s="16"/>
      <c r="D94" s="16"/>
      <c r="E94" s="16"/>
      <c r="F94" s="14">
        <f>F95+F97+F101+F103</f>
        <v>580756</v>
      </c>
      <c r="G94" s="1" t="s">
        <v>98</v>
      </c>
    </row>
    <row r="95" spans="1:7">
      <c r="A95" s="2">
        <v>1</v>
      </c>
      <c r="B95" s="2" t="s">
        <v>56</v>
      </c>
      <c r="C95" s="1" t="s">
        <v>51</v>
      </c>
      <c r="D95" s="1">
        <v>4</v>
      </c>
      <c r="F95" s="8">
        <f>F96*D95</f>
        <v>280000</v>
      </c>
    </row>
    <row r="96" spans="1:7">
      <c r="B96" s="3" t="s">
        <v>16</v>
      </c>
      <c r="C96" s="1" t="s">
        <v>54</v>
      </c>
      <c r="D96" s="5">
        <f>C1/100</f>
        <v>2.8</v>
      </c>
      <c r="E96" s="1">
        <v>25000</v>
      </c>
      <c r="F96" s="10">
        <f>E96*D96</f>
        <v>70000</v>
      </c>
    </row>
    <row r="97" spans="1:7">
      <c r="A97" s="2">
        <v>2</v>
      </c>
      <c r="B97" s="2" t="s">
        <v>59</v>
      </c>
      <c r="C97" s="1" t="s">
        <v>51</v>
      </c>
      <c r="D97" s="1">
        <v>2</v>
      </c>
      <c r="F97" s="8">
        <f>(F99+F100)*D97</f>
        <v>22960</v>
      </c>
    </row>
    <row r="98" spans="1:7">
      <c r="B98" s="3" t="s">
        <v>61</v>
      </c>
      <c r="C98" s="1" t="s">
        <v>10</v>
      </c>
      <c r="D98" s="5">
        <f>400*1.4/10000</f>
        <v>5.6000000000000001E-2</v>
      </c>
      <c r="F98" s="10"/>
    </row>
    <row r="99" spans="1:7">
      <c r="B99" s="3" t="s">
        <v>5</v>
      </c>
      <c r="C99" s="1" t="s">
        <v>51</v>
      </c>
      <c r="D99" s="1">
        <v>1</v>
      </c>
      <c r="E99" s="1">
        <v>100000</v>
      </c>
      <c r="F99" s="10">
        <f>D99*E99*D98</f>
        <v>5600</v>
      </c>
    </row>
    <row r="100" spans="1:7">
      <c r="B100" s="3" t="s">
        <v>2</v>
      </c>
      <c r="C100" s="1" t="s">
        <v>3</v>
      </c>
      <c r="D100" s="5">
        <f>D8*D98</f>
        <v>1.68</v>
      </c>
      <c r="E100" s="1">
        <v>3500</v>
      </c>
      <c r="F100" s="10">
        <f t="shared" ref="F100" si="8">E100*D100*D99</f>
        <v>5880</v>
      </c>
      <c r="G100" s="22" t="s">
        <v>102</v>
      </c>
    </row>
    <row r="101" spans="1:7">
      <c r="A101" s="2">
        <v>3</v>
      </c>
      <c r="B101" s="2" t="s">
        <v>90</v>
      </c>
      <c r="C101" s="1" t="s">
        <v>51</v>
      </c>
      <c r="D101" s="1">
        <v>3</v>
      </c>
      <c r="F101" s="17">
        <f>D101*F102</f>
        <v>225000</v>
      </c>
    </row>
    <row r="102" spans="1:7">
      <c r="B102" s="3" t="s">
        <v>16</v>
      </c>
      <c r="C102" s="1" t="s">
        <v>54</v>
      </c>
      <c r="D102" s="1">
        <v>3</v>
      </c>
      <c r="E102" s="1">
        <v>25000</v>
      </c>
      <c r="F102" s="10">
        <f>E102*D102</f>
        <v>75000</v>
      </c>
    </row>
    <row r="103" spans="1:7">
      <c r="A103" s="2">
        <v>4</v>
      </c>
      <c r="B103" s="2" t="s">
        <v>129</v>
      </c>
      <c r="C103" s="1" t="s">
        <v>89</v>
      </c>
      <c r="D103" s="1">
        <v>1</v>
      </c>
      <c r="E103" s="65">
        <f>(F95+F97+F101)*0.1</f>
        <v>52796</v>
      </c>
      <c r="F103" s="8">
        <f>E103*D103</f>
        <v>52796</v>
      </c>
      <c r="G103" s="1" t="s">
        <v>155</v>
      </c>
    </row>
    <row r="104" spans="1:7" s="11" customFormat="1">
      <c r="A104" s="66"/>
      <c r="B104" s="66"/>
      <c r="E104" s="67"/>
      <c r="F104" s="68"/>
    </row>
    <row r="105" spans="1:7">
      <c r="E105" s="23"/>
      <c r="F105" s="2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150" zoomScaleNormal="150" zoomScalePageLayoutView="150" workbookViewId="0">
      <pane xSplit="1" ySplit="3" topLeftCell="B24" activePane="bottomRight" state="frozen"/>
      <selection pane="topRight" activeCell="B1" sqref="B1"/>
      <selection pane="bottomLeft" activeCell="A4" sqref="A4"/>
      <selection pane="bottomRight" activeCell="D14" sqref="D14"/>
    </sheetView>
  </sheetViews>
  <sheetFormatPr baseColWidth="10" defaultRowHeight="15" x14ac:dyDescent="0"/>
  <cols>
    <col min="1" max="1" width="8.5" style="1" customWidth="1"/>
    <col min="2" max="2" width="57" style="1" customWidth="1"/>
    <col min="3" max="3" width="12.5" style="1" customWidth="1"/>
    <col min="4" max="4" width="9.33203125" style="1" customWidth="1"/>
    <col min="5" max="5" width="15.33203125" style="1" customWidth="1"/>
    <col min="6" max="6" width="14.6640625" style="1" customWidth="1"/>
    <col min="7" max="7" width="62" style="1" customWidth="1"/>
    <col min="8" max="16384" width="10.83203125" style="1"/>
  </cols>
  <sheetData>
    <row r="1" spans="1:7">
      <c r="B1" s="2" t="s">
        <v>99</v>
      </c>
      <c r="C1" s="21">
        <f>параметры!E5</f>
        <v>100</v>
      </c>
      <c r="E1" s="1" t="s">
        <v>100</v>
      </c>
      <c r="F1" s="1" t="s">
        <v>107</v>
      </c>
    </row>
    <row r="3" spans="1:7" ht="45">
      <c r="A3" s="1" t="s">
        <v>13</v>
      </c>
      <c r="B3" s="1" t="s">
        <v>40</v>
      </c>
      <c r="C3" s="1" t="s">
        <v>0</v>
      </c>
      <c r="D3" s="1" t="s">
        <v>4</v>
      </c>
      <c r="E3" s="1" t="s">
        <v>8</v>
      </c>
      <c r="F3" s="1" t="s">
        <v>21</v>
      </c>
      <c r="G3" s="1" t="s">
        <v>37</v>
      </c>
    </row>
    <row r="4" spans="1:7">
      <c r="A4" s="15" t="s">
        <v>1</v>
      </c>
      <c r="B4" s="16"/>
      <c r="C4" s="16"/>
      <c r="D4" s="16"/>
      <c r="E4" s="16"/>
      <c r="F4" s="14">
        <f>F5+F12+F20+F28+F43+F52+F58+F67</f>
        <v>3356174.2017543856</v>
      </c>
    </row>
    <row r="5" spans="1:7">
      <c r="A5" s="2">
        <v>1</v>
      </c>
      <c r="B5" s="2" t="s">
        <v>7</v>
      </c>
      <c r="F5" s="8">
        <f>SUM(F6+F9)</f>
        <v>307500</v>
      </c>
    </row>
    <row r="6" spans="1:7">
      <c r="A6" s="4">
        <v>1.1000000000000001</v>
      </c>
      <c r="B6" s="4" t="s">
        <v>6</v>
      </c>
      <c r="C6" s="1" t="s">
        <v>51</v>
      </c>
      <c r="D6" s="1">
        <v>1</v>
      </c>
      <c r="F6" s="9">
        <f>SUM(F7:F8)</f>
        <v>205000</v>
      </c>
    </row>
    <row r="7" spans="1:7">
      <c r="B7" s="3" t="s">
        <v>5</v>
      </c>
      <c r="C7" s="1" t="s">
        <v>51</v>
      </c>
      <c r="D7" s="1">
        <v>1</v>
      </c>
      <c r="E7" s="1">
        <v>100000</v>
      </c>
      <c r="F7" s="10">
        <f>D7*E7</f>
        <v>100000</v>
      </c>
    </row>
    <row r="8" spans="1:7">
      <c r="B8" s="3" t="s">
        <v>2</v>
      </c>
      <c r="C8" s="1" t="s">
        <v>3</v>
      </c>
      <c r="D8" s="1">
        <v>30</v>
      </c>
      <c r="E8" s="1">
        <v>3500</v>
      </c>
      <c r="F8" s="10">
        <f>D8*E8</f>
        <v>105000</v>
      </c>
      <c r="G8" s="1" t="s">
        <v>102</v>
      </c>
    </row>
    <row r="9" spans="1:7">
      <c r="A9" s="4">
        <v>1.2</v>
      </c>
      <c r="B9" s="4" t="s">
        <v>128</v>
      </c>
      <c r="C9" s="1" t="s">
        <v>51</v>
      </c>
      <c r="D9" s="1">
        <v>1</v>
      </c>
      <c r="F9" s="9">
        <f>SUM(F10:F11)</f>
        <v>102500</v>
      </c>
    </row>
    <row r="10" spans="1:7">
      <c r="B10" s="3" t="s">
        <v>5</v>
      </c>
      <c r="C10" s="1" t="s">
        <v>51</v>
      </c>
      <c r="D10" s="1">
        <v>1</v>
      </c>
      <c r="E10" s="1">
        <v>50000</v>
      </c>
      <c r="F10" s="10">
        <f t="shared" ref="F10:F11" si="0">D10*E10</f>
        <v>50000</v>
      </c>
    </row>
    <row r="11" spans="1:7">
      <c r="B11" s="3" t="s">
        <v>2</v>
      </c>
      <c r="C11" s="1" t="s">
        <v>3</v>
      </c>
      <c r="D11" s="1">
        <v>15</v>
      </c>
      <c r="E11" s="1">
        <v>3500</v>
      </c>
      <c r="F11" s="10">
        <f t="shared" si="0"/>
        <v>52500</v>
      </c>
      <c r="G11" s="1" t="s">
        <v>103</v>
      </c>
    </row>
    <row r="12" spans="1:7">
      <c r="A12" s="2">
        <v>2</v>
      </c>
      <c r="B12" s="2" t="s">
        <v>9</v>
      </c>
      <c r="F12" s="8">
        <f>SUM(F13+F16)</f>
        <v>33825</v>
      </c>
    </row>
    <row r="13" spans="1:7" ht="30">
      <c r="A13" s="4">
        <v>2.1</v>
      </c>
      <c r="B13" s="1" t="s">
        <v>11</v>
      </c>
      <c r="C13" s="1" t="s">
        <v>10</v>
      </c>
      <c r="D13" s="1">
        <v>0.11</v>
      </c>
      <c r="F13" s="9">
        <f>SUM(F14:F15)</f>
        <v>22550</v>
      </c>
      <c r="G13" s="1" t="s">
        <v>108</v>
      </c>
    </row>
    <row r="14" spans="1:7">
      <c r="B14" s="3" t="s">
        <v>5</v>
      </c>
      <c r="C14" s="1" t="s">
        <v>51</v>
      </c>
      <c r="D14" s="1">
        <v>1</v>
      </c>
      <c r="E14" s="5">
        <v>100000</v>
      </c>
      <c r="F14" s="10">
        <f>E14*D13</f>
        <v>11000</v>
      </c>
    </row>
    <row r="15" spans="1:7">
      <c r="B15" s="3" t="s">
        <v>2</v>
      </c>
      <c r="C15" s="1" t="s">
        <v>3</v>
      </c>
      <c r="D15" s="5">
        <f>D8*D13</f>
        <v>3.3</v>
      </c>
      <c r="E15" s="1">
        <v>3500</v>
      </c>
      <c r="F15" s="10">
        <f t="shared" ref="F15:F19" si="1">D15*E15</f>
        <v>11550</v>
      </c>
      <c r="G15" s="1" t="s">
        <v>102</v>
      </c>
    </row>
    <row r="16" spans="1:7">
      <c r="A16" s="4">
        <v>2.2000000000000002</v>
      </c>
      <c r="B16" s="4" t="s">
        <v>128</v>
      </c>
      <c r="C16" s="1" t="s">
        <v>51</v>
      </c>
      <c r="D16" s="1">
        <v>1</v>
      </c>
      <c r="F16" s="9">
        <f>SUM(F18:F19)</f>
        <v>11275</v>
      </c>
    </row>
    <row r="17" spans="1:7">
      <c r="A17" s="4"/>
      <c r="B17" s="1" t="s">
        <v>11</v>
      </c>
      <c r="C17" s="1" t="s">
        <v>10</v>
      </c>
      <c r="D17" s="5">
        <f>D13</f>
        <v>0.11</v>
      </c>
      <c r="F17" s="9"/>
    </row>
    <row r="18" spans="1:7">
      <c r="B18" s="3" t="s">
        <v>5</v>
      </c>
      <c r="C18" s="1" t="s">
        <v>51</v>
      </c>
      <c r="D18" s="1">
        <v>1</v>
      </c>
      <c r="E18" s="1">
        <v>50000</v>
      </c>
      <c r="F18" s="10">
        <f>E18*D17</f>
        <v>5500</v>
      </c>
    </row>
    <row r="19" spans="1:7">
      <c r="B19" s="3" t="s">
        <v>2</v>
      </c>
      <c r="C19" s="1" t="s">
        <v>3</v>
      </c>
      <c r="D19" s="5">
        <f>D17*D11</f>
        <v>1.65</v>
      </c>
      <c r="E19" s="1">
        <v>3500</v>
      </c>
      <c r="F19" s="10">
        <f t="shared" si="1"/>
        <v>5775</v>
      </c>
      <c r="G19" s="1" t="s">
        <v>103</v>
      </c>
    </row>
    <row r="20" spans="1:7" ht="30">
      <c r="A20" s="2">
        <v>3</v>
      </c>
      <c r="B20" s="7" t="s">
        <v>12</v>
      </c>
      <c r="C20" s="1" t="s">
        <v>51</v>
      </c>
      <c r="D20" s="1">
        <v>1</v>
      </c>
      <c r="F20" s="8">
        <f>F21+F24</f>
        <v>158550.00000000003</v>
      </c>
      <c r="G20" s="1" t="s">
        <v>65</v>
      </c>
    </row>
    <row r="21" spans="1:7" ht="30">
      <c r="A21" s="4">
        <v>3.1</v>
      </c>
      <c r="B21" s="1" t="s">
        <v>11</v>
      </c>
      <c r="C21" s="1" t="s">
        <v>10</v>
      </c>
      <c r="D21" s="1">
        <v>0.14000000000000001</v>
      </c>
      <c r="F21" s="9">
        <f>SUM(F22:F23)</f>
        <v>144200.00000000003</v>
      </c>
      <c r="G21" s="1" t="s">
        <v>109</v>
      </c>
    </row>
    <row r="22" spans="1:7">
      <c r="B22" s="3" t="s">
        <v>5</v>
      </c>
      <c r="C22" s="1" t="s">
        <v>51</v>
      </c>
      <c r="D22" s="1">
        <v>4</v>
      </c>
      <c r="E22" s="5">
        <f>D21*E7</f>
        <v>14000.000000000002</v>
      </c>
      <c r="F22" s="10">
        <f t="shared" ref="F22:F23" si="2">D22*E22</f>
        <v>56000.000000000007</v>
      </c>
    </row>
    <row r="23" spans="1:7" ht="30">
      <c r="B23" s="3" t="s">
        <v>2</v>
      </c>
      <c r="C23" s="1" t="s">
        <v>3</v>
      </c>
      <c r="D23" s="5">
        <f>D8*D21*1.5*4</f>
        <v>25.200000000000003</v>
      </c>
      <c r="E23" s="1">
        <v>3500</v>
      </c>
      <c r="F23" s="10">
        <f t="shared" si="2"/>
        <v>88200.000000000015</v>
      </c>
      <c r="G23" s="1" t="s">
        <v>104</v>
      </c>
    </row>
    <row r="24" spans="1:7">
      <c r="A24" s="4">
        <v>3.2</v>
      </c>
      <c r="B24" s="4" t="s">
        <v>128</v>
      </c>
      <c r="C24" s="1" t="s">
        <v>51</v>
      </c>
      <c r="D24" s="5">
        <v>1</v>
      </c>
      <c r="F24" s="9">
        <f>F25</f>
        <v>14350</v>
      </c>
    </row>
    <row r="25" spans="1:7">
      <c r="B25" s="1" t="s">
        <v>11</v>
      </c>
      <c r="C25" s="1" t="s">
        <v>10</v>
      </c>
      <c r="D25" s="5">
        <f>D21</f>
        <v>0.14000000000000001</v>
      </c>
      <c r="F25" s="10">
        <f>F26+F27</f>
        <v>14350</v>
      </c>
    </row>
    <row r="26" spans="1:7">
      <c r="B26" s="3" t="s">
        <v>5</v>
      </c>
      <c r="C26" s="1" t="s">
        <v>51</v>
      </c>
      <c r="D26" s="11">
        <v>1</v>
      </c>
      <c r="E26" s="1">
        <v>50000</v>
      </c>
      <c r="F26" s="10">
        <f>D26*E26*D25</f>
        <v>7000.0000000000009</v>
      </c>
    </row>
    <row r="27" spans="1:7">
      <c r="B27" s="3" t="s">
        <v>2</v>
      </c>
      <c r="C27" s="1" t="s">
        <v>3</v>
      </c>
      <c r="D27" s="5">
        <f>D25*D11</f>
        <v>2.1</v>
      </c>
      <c r="E27" s="1">
        <v>3500</v>
      </c>
      <c r="F27" s="10">
        <f t="shared" ref="F27" si="3">D27*E27</f>
        <v>7350</v>
      </c>
      <c r="G27" s="1" t="s">
        <v>103</v>
      </c>
    </row>
    <row r="28" spans="1:7">
      <c r="A28" s="2">
        <v>4</v>
      </c>
      <c r="B28" s="2" t="s">
        <v>25</v>
      </c>
      <c r="D28" s="11"/>
      <c r="F28" s="8">
        <f>SUM(F29+F32+F35+F38+F41)</f>
        <v>1145000</v>
      </c>
    </row>
    <row r="29" spans="1:7" ht="30">
      <c r="A29" s="4">
        <v>4.0999999999999996</v>
      </c>
      <c r="B29" s="4" t="s">
        <v>66</v>
      </c>
      <c r="C29" s="1" t="s">
        <v>51</v>
      </c>
      <c r="D29" s="1">
        <v>1</v>
      </c>
      <c r="F29" s="9">
        <f>F31</f>
        <v>100000</v>
      </c>
      <c r="G29" s="1" t="s">
        <v>67</v>
      </c>
    </row>
    <row r="30" spans="1:7">
      <c r="B30" s="3" t="s">
        <v>14</v>
      </c>
      <c r="C30" s="1" t="s">
        <v>15</v>
      </c>
      <c r="D30" s="12">
        <f>C1</f>
        <v>100</v>
      </c>
      <c r="F30" s="10"/>
    </row>
    <row r="31" spans="1:7">
      <c r="B31" s="3" t="s">
        <v>16</v>
      </c>
      <c r="C31" s="1" t="s">
        <v>54</v>
      </c>
      <c r="D31" s="5">
        <f>D30/25</f>
        <v>4</v>
      </c>
      <c r="E31" s="1">
        <v>25000</v>
      </c>
      <c r="F31" s="10">
        <f t="shared" ref="F31" si="4">D31*E31</f>
        <v>100000</v>
      </c>
      <c r="G31" s="1" t="s">
        <v>68</v>
      </c>
    </row>
    <row r="32" spans="1:7">
      <c r="A32" s="4">
        <v>4.2</v>
      </c>
      <c r="B32" s="4" t="s">
        <v>17</v>
      </c>
      <c r="F32" s="9">
        <f>F34</f>
        <v>500000</v>
      </c>
    </row>
    <row r="33" spans="1:7" ht="75">
      <c r="B33" s="3" t="s">
        <v>18</v>
      </c>
      <c r="C33" s="1" t="s">
        <v>19</v>
      </c>
      <c r="D33" s="1">
        <v>400</v>
      </c>
      <c r="F33" s="10"/>
      <c r="G33" s="1" t="s">
        <v>69</v>
      </c>
    </row>
    <row r="34" spans="1:7">
      <c r="B34" s="3" t="s">
        <v>16</v>
      </c>
      <c r="C34" s="1" t="s">
        <v>54</v>
      </c>
      <c r="D34" s="5">
        <f>D33/20</f>
        <v>20</v>
      </c>
      <c r="E34" s="1">
        <v>25000</v>
      </c>
      <c r="F34" s="10">
        <f t="shared" ref="F34:F57" si="5">D34*E34</f>
        <v>500000</v>
      </c>
      <c r="G34" s="1" t="s">
        <v>70</v>
      </c>
    </row>
    <row r="35" spans="1:7" ht="30">
      <c r="A35" s="4">
        <v>4.3</v>
      </c>
      <c r="B35" s="4" t="s">
        <v>23</v>
      </c>
      <c r="F35" s="9">
        <f>SUM(F36:F37)</f>
        <v>125000</v>
      </c>
    </row>
    <row r="36" spans="1:7">
      <c r="B36" s="3" t="s">
        <v>22</v>
      </c>
      <c r="C36" s="1" t="s">
        <v>54</v>
      </c>
      <c r="D36" s="1">
        <v>3</v>
      </c>
      <c r="E36" s="1">
        <v>25000</v>
      </c>
      <c r="F36" s="10">
        <f t="shared" si="5"/>
        <v>75000</v>
      </c>
      <c r="G36" s="1" t="s">
        <v>71</v>
      </c>
    </row>
    <row r="37" spans="1:7" ht="30">
      <c r="B37" s="3" t="s">
        <v>20</v>
      </c>
      <c r="C37" s="1" t="s">
        <v>15</v>
      </c>
      <c r="D37" s="5">
        <f>C1</f>
        <v>100</v>
      </c>
      <c r="E37" s="1">
        <v>500</v>
      </c>
      <c r="F37" s="10">
        <f t="shared" si="5"/>
        <v>50000</v>
      </c>
      <c r="G37" s="1" t="s">
        <v>106</v>
      </c>
    </row>
    <row r="38" spans="1:7">
      <c r="A38" s="4">
        <v>4.4000000000000004</v>
      </c>
      <c r="B38" s="4" t="s">
        <v>151</v>
      </c>
      <c r="D38" s="11"/>
      <c r="F38" s="9">
        <f>F39+F40</f>
        <v>245000</v>
      </c>
    </row>
    <row r="39" spans="1:7">
      <c r="B39" s="3" t="s">
        <v>152</v>
      </c>
      <c r="C39" s="1" t="s">
        <v>15</v>
      </c>
      <c r="D39" s="5">
        <v>400</v>
      </c>
      <c r="E39" s="1">
        <v>300</v>
      </c>
      <c r="F39" s="10">
        <f t="shared" ref="F39:F40" si="6">D39*E39</f>
        <v>120000</v>
      </c>
      <c r="G39" s="1" t="s">
        <v>154</v>
      </c>
    </row>
    <row r="40" spans="1:7">
      <c r="B40" s="3" t="s">
        <v>153</v>
      </c>
      <c r="C40" s="1" t="s">
        <v>54</v>
      </c>
      <c r="D40" s="5">
        <f>D39/80</f>
        <v>5</v>
      </c>
      <c r="E40" s="1">
        <v>25000</v>
      </c>
      <c r="F40" s="10">
        <f t="shared" si="6"/>
        <v>125000</v>
      </c>
      <c r="G40" s="1" t="s">
        <v>93</v>
      </c>
    </row>
    <row r="41" spans="1:7" ht="30">
      <c r="A41" s="4">
        <v>4.5</v>
      </c>
      <c r="B41" s="4" t="s">
        <v>24</v>
      </c>
      <c r="F41" s="9">
        <f>F42</f>
        <v>175000</v>
      </c>
      <c r="G41" s="1" t="s">
        <v>72</v>
      </c>
    </row>
    <row r="42" spans="1:7" ht="45">
      <c r="B42" s="3" t="s">
        <v>16</v>
      </c>
      <c r="C42" s="1" t="s">
        <v>54</v>
      </c>
      <c r="D42" s="1">
        <v>7</v>
      </c>
      <c r="E42" s="1">
        <v>25000</v>
      </c>
      <c r="F42" s="10">
        <f t="shared" si="5"/>
        <v>175000</v>
      </c>
      <c r="G42" s="1" t="s">
        <v>73</v>
      </c>
    </row>
    <row r="43" spans="1:7" ht="60">
      <c r="A43" s="2">
        <v>5</v>
      </c>
      <c r="B43" s="2" t="s">
        <v>26</v>
      </c>
      <c r="F43" s="8">
        <f>SUM(F44+F48)</f>
        <v>76982.456140350871</v>
      </c>
      <c r="G43" s="1" t="s">
        <v>74</v>
      </c>
    </row>
    <row r="44" spans="1:7">
      <c r="A44" s="4">
        <v>5.0999999999999996</v>
      </c>
      <c r="B44" s="4" t="s">
        <v>27</v>
      </c>
      <c r="F44" s="9">
        <f>SUM(F45:F47)</f>
        <v>60982.456140350871</v>
      </c>
    </row>
    <row r="45" spans="1:7">
      <c r="B45" s="3" t="s">
        <v>29</v>
      </c>
      <c r="C45" s="1" t="s">
        <v>28</v>
      </c>
      <c r="D45" s="5">
        <f>0.003*C1</f>
        <v>0.3</v>
      </c>
      <c r="E45" s="1">
        <v>60000</v>
      </c>
      <c r="F45" s="10">
        <f t="shared" si="5"/>
        <v>18000</v>
      </c>
      <c r="G45" s="1" t="s">
        <v>110</v>
      </c>
    </row>
    <row r="46" spans="1:7" ht="60">
      <c r="B46" s="3" t="s">
        <v>30</v>
      </c>
      <c r="C46" s="1" t="s">
        <v>54</v>
      </c>
      <c r="D46" s="24">
        <f>C1/150</f>
        <v>0.66666666666666663</v>
      </c>
      <c r="E46" s="1">
        <v>25000</v>
      </c>
      <c r="F46" s="10">
        <f t="shared" si="5"/>
        <v>16666.666666666664</v>
      </c>
      <c r="G46" s="1" t="s">
        <v>76</v>
      </c>
    </row>
    <row r="47" spans="1:7" ht="30">
      <c r="B47" s="3" t="s">
        <v>32</v>
      </c>
      <c r="C47" s="1" t="s">
        <v>54</v>
      </c>
      <c r="D47" s="25">
        <f>C1/95</f>
        <v>1.0526315789473684</v>
      </c>
      <c r="E47" s="1">
        <v>25000</v>
      </c>
      <c r="F47" s="10">
        <f t="shared" si="5"/>
        <v>26315.78947368421</v>
      </c>
      <c r="G47" s="1" t="s">
        <v>38</v>
      </c>
    </row>
    <row r="48" spans="1:7">
      <c r="A48" s="4">
        <v>5.2</v>
      </c>
      <c r="B48" s="4" t="s">
        <v>31</v>
      </c>
      <c r="F48" s="9">
        <f>SUM(F49:F51)</f>
        <v>16000</v>
      </c>
    </row>
    <row r="49" spans="1:7">
      <c r="B49" s="3" t="s">
        <v>33</v>
      </c>
      <c r="C49" s="1" t="s">
        <v>36</v>
      </c>
      <c r="D49" s="5">
        <f>0.05*C1</f>
        <v>5</v>
      </c>
      <c r="E49" s="1">
        <v>1200</v>
      </c>
      <c r="F49" s="10">
        <f t="shared" si="5"/>
        <v>6000</v>
      </c>
      <c r="G49" s="1" t="s">
        <v>94</v>
      </c>
    </row>
    <row r="50" spans="1:7">
      <c r="B50" s="3" t="s">
        <v>34</v>
      </c>
      <c r="C50" s="1" t="s">
        <v>36</v>
      </c>
      <c r="D50" s="5">
        <f>0.05*C1</f>
        <v>5</v>
      </c>
      <c r="E50" s="1">
        <v>1600</v>
      </c>
      <c r="F50" s="10">
        <f t="shared" si="5"/>
        <v>8000</v>
      </c>
      <c r="G50" s="1" t="s">
        <v>94</v>
      </c>
    </row>
    <row r="51" spans="1:7">
      <c r="B51" s="3" t="s">
        <v>35</v>
      </c>
      <c r="C51" s="1" t="s">
        <v>36</v>
      </c>
      <c r="D51" s="5">
        <f>0.025*C1</f>
        <v>2.5</v>
      </c>
      <c r="E51" s="1">
        <v>800</v>
      </c>
      <c r="F51" s="10">
        <f t="shared" si="5"/>
        <v>2000</v>
      </c>
      <c r="G51" s="1" t="s">
        <v>95</v>
      </c>
    </row>
    <row r="52" spans="1:7" ht="30">
      <c r="A52" s="2">
        <v>6</v>
      </c>
      <c r="B52" s="2" t="s">
        <v>39</v>
      </c>
      <c r="F52" s="8">
        <f>F53+F54</f>
        <v>331250</v>
      </c>
      <c r="G52" s="1" t="s">
        <v>156</v>
      </c>
    </row>
    <row r="53" spans="1:7">
      <c r="B53" s="3" t="s">
        <v>45</v>
      </c>
      <c r="C53" s="1" t="s">
        <v>15</v>
      </c>
      <c r="D53" s="5">
        <f>C1</f>
        <v>100</v>
      </c>
      <c r="E53" s="1">
        <v>3000</v>
      </c>
      <c r="F53" s="10">
        <f t="shared" si="5"/>
        <v>300000</v>
      </c>
      <c r="G53" s="1" t="s">
        <v>77</v>
      </c>
    </row>
    <row r="54" spans="1:7" ht="30">
      <c r="B54" s="3" t="s">
        <v>42</v>
      </c>
      <c r="C54" s="1" t="s">
        <v>54</v>
      </c>
      <c r="D54" s="5">
        <f>D53/80</f>
        <v>1.25</v>
      </c>
      <c r="E54" s="1">
        <v>25000</v>
      </c>
      <c r="F54" s="10">
        <f t="shared" si="5"/>
        <v>31250</v>
      </c>
      <c r="G54" s="1" t="s">
        <v>78</v>
      </c>
    </row>
    <row r="55" spans="1:7" hidden="1">
      <c r="A55" s="69">
        <v>6.2</v>
      </c>
      <c r="B55" s="69" t="s">
        <v>43</v>
      </c>
      <c r="C55" s="70"/>
      <c r="D55" s="70"/>
      <c r="E55" s="70"/>
      <c r="F55" s="71">
        <f>F56+F57</f>
        <v>38250</v>
      </c>
    </row>
    <row r="56" spans="1:7" hidden="1">
      <c r="A56" s="70"/>
      <c r="B56" s="72" t="s">
        <v>46</v>
      </c>
      <c r="C56" s="70" t="s">
        <v>44</v>
      </c>
      <c r="D56" s="70">
        <f>C1*5*0.7/1000</f>
        <v>0.35</v>
      </c>
      <c r="E56" s="70">
        <v>20000</v>
      </c>
      <c r="F56" s="73">
        <f t="shared" si="5"/>
        <v>7000</v>
      </c>
      <c r="G56" s="1" t="s">
        <v>49</v>
      </c>
    </row>
    <row r="57" spans="1:7" ht="30" hidden="1">
      <c r="A57" s="70"/>
      <c r="B57" s="72" t="s">
        <v>47</v>
      </c>
      <c r="C57" s="70" t="s">
        <v>54</v>
      </c>
      <c r="D57" s="70">
        <f>C1/80</f>
        <v>1.25</v>
      </c>
      <c r="E57" s="70">
        <v>25000</v>
      </c>
      <c r="F57" s="73">
        <f t="shared" si="5"/>
        <v>31250</v>
      </c>
      <c r="G57" s="1" t="s">
        <v>48</v>
      </c>
    </row>
    <row r="58" spans="1:7">
      <c r="A58" s="2">
        <v>7</v>
      </c>
      <c r="B58" s="2" t="s">
        <v>50</v>
      </c>
      <c r="F58" s="8">
        <f>F59+F61+F63</f>
        <v>997960</v>
      </c>
    </row>
    <row r="59" spans="1:7">
      <c r="A59" s="4">
        <v>7.1</v>
      </c>
      <c r="B59" s="4" t="s">
        <v>55</v>
      </c>
      <c r="C59" s="1" t="s">
        <v>51</v>
      </c>
      <c r="D59" s="1">
        <v>5</v>
      </c>
      <c r="F59" s="9">
        <f>F60*D59</f>
        <v>875000</v>
      </c>
      <c r="G59" s="1" t="s">
        <v>52</v>
      </c>
    </row>
    <row r="60" spans="1:7">
      <c r="B60" s="3" t="s">
        <v>16</v>
      </c>
      <c r="C60" s="1" t="s">
        <v>54</v>
      </c>
      <c r="D60" s="1">
        <v>7</v>
      </c>
      <c r="E60" s="1">
        <v>25000</v>
      </c>
      <c r="F60" s="10">
        <f>E60*D60</f>
        <v>175000</v>
      </c>
      <c r="G60" s="1" t="s">
        <v>53</v>
      </c>
    </row>
    <row r="61" spans="1:7" ht="30">
      <c r="A61" s="4">
        <v>7.2</v>
      </c>
      <c r="B61" s="4" t="s">
        <v>56</v>
      </c>
      <c r="C61" s="1" t="s">
        <v>51</v>
      </c>
      <c r="D61" s="1">
        <v>4</v>
      </c>
      <c r="F61" s="9">
        <f>F62*D61</f>
        <v>100000</v>
      </c>
      <c r="G61" s="1" t="s">
        <v>57</v>
      </c>
    </row>
    <row r="62" spans="1:7">
      <c r="B62" s="3" t="s">
        <v>16</v>
      </c>
      <c r="C62" s="1" t="s">
        <v>54</v>
      </c>
      <c r="D62" s="5">
        <f>C1/100</f>
        <v>1</v>
      </c>
      <c r="E62" s="1">
        <v>25000</v>
      </c>
      <c r="F62" s="10">
        <f>E62*D62</f>
        <v>25000</v>
      </c>
      <c r="G62" s="1" t="s">
        <v>58</v>
      </c>
    </row>
    <row r="63" spans="1:7" ht="30">
      <c r="A63" s="4">
        <v>7.3</v>
      </c>
      <c r="B63" s="4" t="s">
        <v>59</v>
      </c>
      <c r="C63" s="1" t="s">
        <v>51</v>
      </c>
      <c r="D63" s="1">
        <v>2</v>
      </c>
      <c r="F63" s="9">
        <f>(F65+F66)*D63</f>
        <v>22960</v>
      </c>
      <c r="G63" s="1" t="s">
        <v>60</v>
      </c>
    </row>
    <row r="64" spans="1:7">
      <c r="B64" s="3" t="s">
        <v>61</v>
      </c>
      <c r="C64" s="1" t="s">
        <v>10</v>
      </c>
      <c r="D64" s="5">
        <f>400*1.4/10000</f>
        <v>5.6000000000000001E-2</v>
      </c>
      <c r="F64" s="10"/>
      <c r="G64" s="1" t="s">
        <v>62</v>
      </c>
    </row>
    <row r="65" spans="1:7">
      <c r="B65" s="3" t="s">
        <v>5</v>
      </c>
      <c r="C65" s="1" t="s">
        <v>51</v>
      </c>
      <c r="D65" s="1">
        <v>1</v>
      </c>
      <c r="E65" s="1">
        <v>100000</v>
      </c>
      <c r="F65" s="10">
        <f>E65*D64</f>
        <v>5600</v>
      </c>
    </row>
    <row r="66" spans="1:7">
      <c r="B66" s="3" t="s">
        <v>2</v>
      </c>
      <c r="C66" s="1" t="s">
        <v>3</v>
      </c>
      <c r="D66" s="1">
        <f>D64*D8</f>
        <v>1.68</v>
      </c>
      <c r="E66" s="1">
        <v>3500</v>
      </c>
      <c r="F66" s="10">
        <f t="shared" ref="F66" si="7">E66*D66*D65</f>
        <v>5880</v>
      </c>
      <c r="G66" s="1" t="s">
        <v>102</v>
      </c>
    </row>
    <row r="67" spans="1:7">
      <c r="A67" s="2">
        <v>8</v>
      </c>
      <c r="B67" s="2" t="s">
        <v>129</v>
      </c>
      <c r="C67" s="1" t="s">
        <v>89</v>
      </c>
      <c r="D67" s="1">
        <v>1</v>
      </c>
      <c r="E67" s="65">
        <f>(F5+F12+F20+F28+F43+F52+F58)*0.1</f>
        <v>305106.74561403506</v>
      </c>
      <c r="F67" s="8">
        <f>E67*D67</f>
        <v>305106.74561403506</v>
      </c>
    </row>
    <row r="68" spans="1:7">
      <c r="F68" s="10"/>
    </row>
    <row r="69" spans="1:7">
      <c r="A69" s="15" t="s">
        <v>79</v>
      </c>
      <c r="B69" s="16"/>
      <c r="C69" s="16"/>
      <c r="D69" s="16"/>
      <c r="E69" s="16"/>
      <c r="F69" s="13">
        <f>F70+F73+F75+F77+F81</f>
        <v>1170631</v>
      </c>
    </row>
    <row r="70" spans="1:7" ht="30">
      <c r="A70" s="2">
        <v>1</v>
      </c>
      <c r="B70" s="2" t="s">
        <v>41</v>
      </c>
      <c r="F70" s="8">
        <f>F71+F72</f>
        <v>66250</v>
      </c>
      <c r="G70" s="1" t="s">
        <v>80</v>
      </c>
    </row>
    <row r="71" spans="1:7">
      <c r="B71" s="3" t="s">
        <v>81</v>
      </c>
      <c r="C71" s="1" t="s">
        <v>15</v>
      </c>
      <c r="D71" s="5">
        <f>C1*0.2</f>
        <v>20</v>
      </c>
      <c r="E71" s="1">
        <v>3000</v>
      </c>
      <c r="F71" s="10">
        <f>E71*D71</f>
        <v>60000</v>
      </c>
    </row>
    <row r="72" spans="1:7">
      <c r="B72" s="3" t="s">
        <v>42</v>
      </c>
      <c r="C72" s="1" t="s">
        <v>54</v>
      </c>
      <c r="D72" s="5">
        <f>D71/80</f>
        <v>0.25</v>
      </c>
      <c r="E72" s="1">
        <v>25000</v>
      </c>
      <c r="F72" s="10">
        <f>E72*D72</f>
        <v>6250</v>
      </c>
      <c r="G72" s="1" t="s">
        <v>93</v>
      </c>
    </row>
    <row r="73" spans="1:7">
      <c r="A73" s="2">
        <v>2</v>
      </c>
      <c r="B73" s="2" t="s">
        <v>55</v>
      </c>
      <c r="C73" s="1" t="s">
        <v>51</v>
      </c>
      <c r="D73" s="1">
        <v>5</v>
      </c>
      <c r="F73" s="8">
        <f>F74*D73</f>
        <v>875000</v>
      </c>
    </row>
    <row r="74" spans="1:7">
      <c r="B74" s="3" t="s">
        <v>16</v>
      </c>
      <c r="C74" s="1" t="s">
        <v>54</v>
      </c>
      <c r="D74" s="1">
        <v>7</v>
      </c>
      <c r="E74" s="1">
        <v>25000</v>
      </c>
      <c r="F74" s="10">
        <f>E74*D74</f>
        <v>175000</v>
      </c>
    </row>
    <row r="75" spans="1:7">
      <c r="A75" s="2">
        <v>3</v>
      </c>
      <c r="B75" s="2" t="s">
        <v>56</v>
      </c>
      <c r="C75" s="1" t="s">
        <v>51</v>
      </c>
      <c r="D75" s="1">
        <v>4</v>
      </c>
      <c r="F75" s="8">
        <f>F76*D75</f>
        <v>100000</v>
      </c>
    </row>
    <row r="76" spans="1:7">
      <c r="B76" s="3" t="s">
        <v>16</v>
      </c>
      <c r="C76" s="1" t="s">
        <v>54</v>
      </c>
      <c r="D76" s="5">
        <f>C1/100</f>
        <v>1</v>
      </c>
      <c r="E76" s="1">
        <v>25000</v>
      </c>
      <c r="F76" s="10">
        <f>E76*D76</f>
        <v>25000</v>
      </c>
    </row>
    <row r="77" spans="1:7">
      <c r="A77" s="2">
        <v>4</v>
      </c>
      <c r="B77" s="2" t="s">
        <v>59</v>
      </c>
      <c r="C77" s="1" t="s">
        <v>51</v>
      </c>
      <c r="D77" s="1">
        <v>2</v>
      </c>
      <c r="F77" s="8">
        <f>(F79+F80)*D77</f>
        <v>22960</v>
      </c>
    </row>
    <row r="78" spans="1:7">
      <c r="B78" s="3" t="s">
        <v>61</v>
      </c>
      <c r="C78" s="1" t="s">
        <v>10</v>
      </c>
      <c r="D78" s="5">
        <f>400*1.4/10000</f>
        <v>5.6000000000000001E-2</v>
      </c>
      <c r="F78" s="10"/>
    </row>
    <row r="79" spans="1:7">
      <c r="B79" s="3" t="s">
        <v>5</v>
      </c>
      <c r="C79" s="1" t="s">
        <v>51</v>
      </c>
      <c r="D79" s="1">
        <v>1</v>
      </c>
      <c r="E79" s="1">
        <v>100000</v>
      </c>
      <c r="F79" s="10">
        <f>D79*E79*D78</f>
        <v>5600</v>
      </c>
    </row>
    <row r="80" spans="1:7">
      <c r="B80" s="3" t="s">
        <v>2</v>
      </c>
      <c r="C80" s="1" t="s">
        <v>3</v>
      </c>
      <c r="D80" s="5">
        <f>D8*D78</f>
        <v>1.68</v>
      </c>
      <c r="E80" s="1">
        <v>3500</v>
      </c>
      <c r="F80" s="10">
        <f t="shared" ref="F80" si="8">E80*D80*D79</f>
        <v>5880</v>
      </c>
      <c r="G80" s="1" t="s">
        <v>102</v>
      </c>
    </row>
    <row r="81" spans="1:7">
      <c r="A81" s="2">
        <v>5</v>
      </c>
      <c r="B81" s="2" t="s">
        <v>129</v>
      </c>
      <c r="C81" s="1" t="s">
        <v>89</v>
      </c>
      <c r="D81" s="1">
        <v>1</v>
      </c>
      <c r="E81" s="65">
        <f>(F70+F73+F75+F77)*0.1</f>
        <v>106421</v>
      </c>
      <c r="F81" s="8">
        <f>E81*D81</f>
        <v>106421</v>
      </c>
      <c r="G81" s="1" t="s">
        <v>155</v>
      </c>
    </row>
    <row r="82" spans="1:7">
      <c r="F82" s="6"/>
    </row>
    <row r="83" spans="1:7">
      <c r="A83" s="18" t="s">
        <v>82</v>
      </c>
      <c r="B83" s="19"/>
      <c r="C83" s="19"/>
      <c r="D83" s="19"/>
      <c r="E83" s="19"/>
      <c r="F83" s="20">
        <f>F84+F86+F90+F92</f>
        <v>577500</v>
      </c>
    </row>
    <row r="84" spans="1:7">
      <c r="A84" s="2">
        <v>1</v>
      </c>
      <c r="B84" s="2" t="s">
        <v>56</v>
      </c>
      <c r="C84" s="1" t="s">
        <v>51</v>
      </c>
      <c r="D84" s="1">
        <v>4</v>
      </c>
      <c r="F84" s="8">
        <f>F85*D84</f>
        <v>100000</v>
      </c>
    </row>
    <row r="85" spans="1:7">
      <c r="B85" s="3" t="s">
        <v>16</v>
      </c>
      <c r="C85" s="1" t="s">
        <v>54</v>
      </c>
      <c r="D85" s="5">
        <f>C1/100</f>
        <v>1</v>
      </c>
      <c r="E85" s="1">
        <v>25000</v>
      </c>
      <c r="F85" s="10">
        <f>E85*D85</f>
        <v>25000</v>
      </c>
    </row>
    <row r="86" spans="1:7">
      <c r="A86" s="2">
        <v>2</v>
      </c>
      <c r="B86" s="2" t="s">
        <v>83</v>
      </c>
      <c r="C86" s="1" t="s">
        <v>51</v>
      </c>
      <c r="D86" s="1">
        <v>2</v>
      </c>
      <c r="F86" s="17">
        <f>(F87+F88+F89)*D86</f>
        <v>200000</v>
      </c>
      <c r="G86" s="1" t="s">
        <v>105</v>
      </c>
    </row>
    <row r="87" spans="1:7" ht="30">
      <c r="B87" s="3" t="s">
        <v>84</v>
      </c>
      <c r="C87" s="1" t="s">
        <v>15</v>
      </c>
      <c r="D87" s="5">
        <f>C1/5</f>
        <v>20</v>
      </c>
      <c r="E87" s="1">
        <v>1500</v>
      </c>
      <c r="F87" s="10">
        <f>E87*D87</f>
        <v>30000</v>
      </c>
      <c r="G87" s="1" t="s">
        <v>85</v>
      </c>
    </row>
    <row r="88" spans="1:7">
      <c r="B88" s="3" t="s">
        <v>86</v>
      </c>
      <c r="C88" s="1" t="s">
        <v>51</v>
      </c>
      <c r="D88" s="1">
        <f>C1</f>
        <v>100</v>
      </c>
      <c r="E88" s="1">
        <v>200</v>
      </c>
      <c r="F88" s="10">
        <f>E88*D88</f>
        <v>20000</v>
      </c>
      <c r="G88" s="1" t="s">
        <v>87</v>
      </c>
    </row>
    <row r="89" spans="1:7" ht="30">
      <c r="B89" s="3" t="s">
        <v>88</v>
      </c>
      <c r="C89" s="1" t="s">
        <v>51</v>
      </c>
      <c r="D89" s="1">
        <v>1</v>
      </c>
      <c r="E89" s="1">
        <v>50000</v>
      </c>
      <c r="F89" s="10">
        <f>E89*D89</f>
        <v>50000</v>
      </c>
      <c r="G89" s="1" t="s">
        <v>96</v>
      </c>
    </row>
    <row r="90" spans="1:7">
      <c r="A90" s="2">
        <v>3</v>
      </c>
      <c r="B90" s="2" t="s">
        <v>90</v>
      </c>
      <c r="C90" s="1" t="s">
        <v>51</v>
      </c>
      <c r="D90" s="1">
        <v>3</v>
      </c>
      <c r="F90" s="17">
        <f>D90*F91</f>
        <v>225000</v>
      </c>
      <c r="G90" s="1" t="s">
        <v>91</v>
      </c>
    </row>
    <row r="91" spans="1:7">
      <c r="B91" s="3" t="s">
        <v>16</v>
      </c>
      <c r="C91" s="1" t="s">
        <v>54</v>
      </c>
      <c r="D91" s="1">
        <v>3</v>
      </c>
      <c r="E91" s="1">
        <v>25000</v>
      </c>
      <c r="F91" s="10">
        <f>E91*D91</f>
        <v>75000</v>
      </c>
      <c r="G91" s="1" t="s">
        <v>92</v>
      </c>
    </row>
    <row r="92" spans="1:7">
      <c r="A92" s="2">
        <v>4</v>
      </c>
      <c r="B92" s="2" t="s">
        <v>129</v>
      </c>
      <c r="C92" s="1" t="s">
        <v>89</v>
      </c>
      <c r="D92" s="1">
        <v>1</v>
      </c>
      <c r="E92" s="65">
        <f>(F84+F86+F90)*0.1</f>
        <v>52500</v>
      </c>
      <c r="F92" s="8">
        <f>E92*D92</f>
        <v>52500</v>
      </c>
      <c r="G92" s="1" t="s">
        <v>155</v>
      </c>
    </row>
    <row r="94" spans="1:7">
      <c r="A94" s="15" t="s">
        <v>97</v>
      </c>
      <c r="B94" s="16"/>
      <c r="C94" s="16"/>
      <c r="D94" s="16"/>
      <c r="E94" s="16"/>
      <c r="F94" s="14">
        <f>F95+F97+F101+F103</f>
        <v>382756</v>
      </c>
      <c r="G94" s="1" t="s">
        <v>98</v>
      </c>
    </row>
    <row r="95" spans="1:7">
      <c r="A95" s="2">
        <v>1</v>
      </c>
      <c r="B95" s="2" t="s">
        <v>56</v>
      </c>
      <c r="C95" s="1" t="s">
        <v>51</v>
      </c>
      <c r="D95" s="1">
        <v>4</v>
      </c>
      <c r="F95" s="8">
        <f>F96*D95</f>
        <v>100000</v>
      </c>
    </row>
    <row r="96" spans="1:7">
      <c r="B96" s="3" t="s">
        <v>16</v>
      </c>
      <c r="C96" s="1" t="s">
        <v>54</v>
      </c>
      <c r="D96" s="5">
        <f>C1/100</f>
        <v>1</v>
      </c>
      <c r="E96" s="1">
        <v>25000</v>
      </c>
      <c r="F96" s="10">
        <f>E96*D96</f>
        <v>25000</v>
      </c>
    </row>
    <row r="97" spans="1:7">
      <c r="A97" s="2">
        <v>2</v>
      </c>
      <c r="B97" s="2" t="s">
        <v>59</v>
      </c>
      <c r="C97" s="1" t="s">
        <v>51</v>
      </c>
      <c r="D97" s="1">
        <v>2</v>
      </c>
      <c r="F97" s="8">
        <f>(F99+F100)*D97</f>
        <v>22960</v>
      </c>
    </row>
    <row r="98" spans="1:7">
      <c r="B98" s="3" t="s">
        <v>61</v>
      </c>
      <c r="C98" s="1" t="s">
        <v>10</v>
      </c>
      <c r="D98" s="5">
        <f>400*1.4/10000</f>
        <v>5.6000000000000001E-2</v>
      </c>
      <c r="F98" s="10"/>
    </row>
    <row r="99" spans="1:7">
      <c r="B99" s="3" t="s">
        <v>5</v>
      </c>
      <c r="C99" s="1" t="s">
        <v>51</v>
      </c>
      <c r="D99" s="1">
        <v>1</v>
      </c>
      <c r="E99" s="1">
        <v>100000</v>
      </c>
      <c r="F99" s="10">
        <f>D99*E99*D98</f>
        <v>5600</v>
      </c>
    </row>
    <row r="100" spans="1:7">
      <c r="B100" s="3" t="s">
        <v>2</v>
      </c>
      <c r="C100" s="1" t="s">
        <v>3</v>
      </c>
      <c r="D100" s="5">
        <f>D8*D98</f>
        <v>1.68</v>
      </c>
      <c r="E100" s="1">
        <v>3500</v>
      </c>
      <c r="F100" s="10">
        <f t="shared" ref="F100" si="9">E100*D100*D99</f>
        <v>5880</v>
      </c>
      <c r="G100" s="22" t="s">
        <v>102</v>
      </c>
    </row>
    <row r="101" spans="1:7">
      <c r="A101" s="2">
        <v>3</v>
      </c>
      <c r="B101" s="2" t="s">
        <v>90</v>
      </c>
      <c r="C101" s="1" t="s">
        <v>51</v>
      </c>
      <c r="D101" s="1">
        <v>3</v>
      </c>
      <c r="F101" s="17">
        <f>D101*F102</f>
        <v>225000</v>
      </c>
    </row>
    <row r="102" spans="1:7">
      <c r="B102" s="3" t="s">
        <v>16</v>
      </c>
      <c r="C102" s="1" t="s">
        <v>54</v>
      </c>
      <c r="D102" s="1">
        <v>3</v>
      </c>
      <c r="E102" s="1">
        <v>25000</v>
      </c>
      <c r="F102" s="10">
        <f>E102*D102</f>
        <v>75000</v>
      </c>
    </row>
    <row r="103" spans="1:7">
      <c r="A103" s="2">
        <v>4</v>
      </c>
      <c r="B103" s="2" t="s">
        <v>129</v>
      </c>
      <c r="C103" s="1" t="s">
        <v>89</v>
      </c>
      <c r="D103" s="1">
        <v>1</v>
      </c>
      <c r="E103" s="65">
        <f>(F95+F97+F101)*0.1</f>
        <v>34796</v>
      </c>
      <c r="F103" s="8">
        <f>E103*D103</f>
        <v>34796</v>
      </c>
      <c r="G103" s="1" t="s">
        <v>155</v>
      </c>
    </row>
    <row r="104" spans="1:7" s="11" customFormat="1">
      <c r="A104" s="66"/>
      <c r="B104" s="66"/>
      <c r="E104" s="67"/>
      <c r="F104" s="68"/>
    </row>
    <row r="105" spans="1:7">
      <c r="E105" s="23"/>
      <c r="F105" s="2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125" zoomScaleNormal="125" zoomScalePageLayoutView="125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C41" sqref="C41"/>
    </sheetView>
  </sheetViews>
  <sheetFormatPr baseColWidth="10" defaultRowHeight="15" x14ac:dyDescent="0"/>
  <cols>
    <col min="1" max="1" width="5.5" style="94" bestFit="1" customWidth="1"/>
    <col min="2" max="2" width="44.33203125" style="94" customWidth="1"/>
    <col min="3" max="4" width="11.6640625" style="94" bestFit="1" customWidth="1"/>
    <col min="5" max="5" width="11.83203125" style="94" bestFit="1" customWidth="1"/>
    <col min="6" max="6" width="11.6640625" style="94" bestFit="1" customWidth="1"/>
    <col min="7" max="16384" width="10.83203125" style="94"/>
  </cols>
  <sheetData>
    <row r="1" spans="1:20">
      <c r="B1" s="93" t="s">
        <v>175</v>
      </c>
    </row>
    <row r="2" spans="1:20">
      <c r="B2" s="101" t="s">
        <v>172</v>
      </c>
    </row>
    <row r="3" spans="1:20">
      <c r="B3" s="94" t="s">
        <v>168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</row>
    <row r="4" spans="1:20" ht="30">
      <c r="A4" s="2">
        <v>1</v>
      </c>
      <c r="B4" s="28" t="s">
        <v>7</v>
      </c>
      <c r="C4" s="95">
        <f>C5+C6</f>
        <v>307500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>
      <c r="A5" s="1">
        <v>1.1000000000000001</v>
      </c>
      <c r="B5" s="3" t="s">
        <v>6</v>
      </c>
      <c r="C5" s="96">
        <f>'6х6'!F6</f>
        <v>205000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30">
      <c r="A6" s="1">
        <v>1.2</v>
      </c>
      <c r="B6" s="3" t="s">
        <v>128</v>
      </c>
      <c r="C6" s="96">
        <f>'6х6'!F9</f>
        <v>102500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30">
      <c r="A7" s="2">
        <v>2</v>
      </c>
      <c r="B7" s="28" t="s">
        <v>9</v>
      </c>
      <c r="C7" s="95">
        <f>C8+C9</f>
        <v>55350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>
      <c r="A8" s="1">
        <v>2.1</v>
      </c>
      <c r="B8" s="3" t="s">
        <v>170</v>
      </c>
      <c r="C8" s="96">
        <f>'6х6'!F13</f>
        <v>36900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30">
      <c r="A9" s="1">
        <v>2.2000000000000002</v>
      </c>
      <c r="B9" s="3" t="s">
        <v>128</v>
      </c>
      <c r="C9" s="96">
        <f>'6х6'!F16</f>
        <v>18450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30">
      <c r="A10" s="1">
        <v>3</v>
      </c>
      <c r="B10" s="28" t="s">
        <v>171</v>
      </c>
      <c r="C10" s="95">
        <f>C11+C12</f>
        <v>271800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>
      <c r="A11" s="1">
        <v>3.1</v>
      </c>
      <c r="B11" s="3" t="s">
        <v>170</v>
      </c>
      <c r="C11" s="96">
        <f>'6х6'!F21</f>
        <v>247199.99999999997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30">
      <c r="A12" s="1">
        <v>3.2</v>
      </c>
      <c r="B12" s="3" t="s">
        <v>128</v>
      </c>
      <c r="C12" s="96">
        <f>'6х6'!F24</f>
        <v>24600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>
      <c r="A13" s="2">
        <v>4</v>
      </c>
      <c r="B13" s="28" t="s">
        <v>25</v>
      </c>
      <c r="C13" s="95">
        <f>SUM(C14:C18)</f>
        <v>1415000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>
      <c r="A14" s="1">
        <v>4.0999999999999996</v>
      </c>
      <c r="B14" s="3" t="s">
        <v>66</v>
      </c>
      <c r="C14" s="96">
        <f>'6х6'!F29</f>
        <v>280000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>
      <c r="A15" s="1">
        <v>4.2</v>
      </c>
      <c r="B15" s="3" t="s">
        <v>17</v>
      </c>
      <c r="C15" s="96">
        <f>'6х6'!F32</f>
        <v>500000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30">
      <c r="A16" s="1">
        <v>4.3</v>
      </c>
      <c r="B16" s="3" t="s">
        <v>23</v>
      </c>
      <c r="C16" s="96">
        <f>'6х6'!F35</f>
        <v>215000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>
      <c r="A17" s="1">
        <v>4.4000000000000004</v>
      </c>
      <c r="B17" s="119" t="s">
        <v>151</v>
      </c>
      <c r="C17" s="120">
        <f>'6х6'!F38</f>
        <v>245000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>
      <c r="A18" s="1">
        <v>4.5</v>
      </c>
      <c r="B18" s="3" t="s">
        <v>24</v>
      </c>
      <c r="C18" s="96">
        <f>'6х6'!F41</f>
        <v>175000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>
      <c r="A19" s="2">
        <v>5</v>
      </c>
      <c r="B19" s="28" t="s">
        <v>26</v>
      </c>
      <c r="C19" s="95">
        <f>SUM(C20:C21)</f>
        <v>215550.87719298244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>
      <c r="A20" s="1">
        <v>5.0999999999999996</v>
      </c>
      <c r="B20" s="3" t="s">
        <v>27</v>
      </c>
      <c r="C20" s="96">
        <f>'6х6'!F44</f>
        <v>170750.87719298244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>
      <c r="A21" s="1">
        <v>5.2</v>
      </c>
      <c r="B21" s="3" t="s">
        <v>31</v>
      </c>
      <c r="C21" s="96">
        <f>'6х6'!F48</f>
        <v>44800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>
      <c r="A22" s="2">
        <v>6</v>
      </c>
      <c r="B22" s="28" t="s">
        <v>41</v>
      </c>
      <c r="C22" s="95">
        <f>SUM(C23:C26)</f>
        <v>927500</v>
      </c>
      <c r="D22" s="95">
        <f>SUM(D23:D26)</f>
        <v>185500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>
      <c r="A23" s="1">
        <v>6.1</v>
      </c>
      <c r="B23" s="3" t="s">
        <v>45</v>
      </c>
      <c r="C23" s="96">
        <f>'6х6'!F53</f>
        <v>840000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>
      <c r="A24" s="1">
        <v>6.2</v>
      </c>
      <c r="B24" s="3" t="s">
        <v>42</v>
      </c>
      <c r="C24" s="96">
        <f>'6х6'!F54</f>
        <v>87500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>
      <c r="A25" s="1">
        <v>6.3</v>
      </c>
      <c r="B25" s="3" t="s">
        <v>81</v>
      </c>
      <c r="C25" s="96"/>
      <c r="D25" s="96">
        <f>'6х6'!F71</f>
        <v>168000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>
      <c r="A26" s="1">
        <v>6.4</v>
      </c>
      <c r="B26" s="3" t="s">
        <v>42</v>
      </c>
      <c r="C26" s="96"/>
      <c r="D26" s="96">
        <f>'6х6'!F72</f>
        <v>17500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>
      <c r="A27" s="2">
        <v>7</v>
      </c>
      <c r="B27" s="28" t="s">
        <v>50</v>
      </c>
      <c r="C27" s="95">
        <f>SUM(C28:C30)</f>
        <v>1177960</v>
      </c>
      <c r="D27" s="95">
        <f>SUM(D28:D30)</f>
        <v>1177960</v>
      </c>
      <c r="E27" s="95">
        <f>SUM(E28:E30)</f>
        <v>280000</v>
      </c>
      <c r="F27" s="95">
        <f>SUM(F28:F30)</f>
        <v>302960</v>
      </c>
      <c r="G27" s="95">
        <f t="shared" ref="G27:T27" si="0">SUM(G28:G30)</f>
        <v>302960</v>
      </c>
      <c r="H27" s="95">
        <f t="shared" si="0"/>
        <v>302960</v>
      </c>
      <c r="I27" s="95">
        <f t="shared" si="0"/>
        <v>302960</v>
      </c>
      <c r="J27" s="95">
        <f t="shared" si="0"/>
        <v>302960</v>
      </c>
      <c r="K27" s="95">
        <f t="shared" si="0"/>
        <v>302960</v>
      </c>
      <c r="L27" s="95">
        <f t="shared" si="0"/>
        <v>302960</v>
      </c>
      <c r="M27" s="95">
        <f t="shared" si="0"/>
        <v>302960</v>
      </c>
      <c r="N27" s="95">
        <f t="shared" si="0"/>
        <v>302960</v>
      </c>
      <c r="O27" s="95">
        <f t="shared" si="0"/>
        <v>302960</v>
      </c>
      <c r="P27" s="95">
        <f t="shared" si="0"/>
        <v>302960</v>
      </c>
      <c r="Q27" s="95">
        <f t="shared" si="0"/>
        <v>302960</v>
      </c>
      <c r="R27" s="95">
        <f t="shared" si="0"/>
        <v>302960</v>
      </c>
      <c r="S27" s="95">
        <f t="shared" si="0"/>
        <v>302960</v>
      </c>
      <c r="T27" s="95">
        <f t="shared" si="0"/>
        <v>302960</v>
      </c>
    </row>
    <row r="28" spans="1:20">
      <c r="A28" s="1">
        <v>7.1</v>
      </c>
      <c r="B28" s="3" t="s">
        <v>55</v>
      </c>
      <c r="C28" s="96">
        <f>'6х6'!F59</f>
        <v>875000</v>
      </c>
      <c r="D28" s="96">
        <f>'6х6'!F73</f>
        <v>875000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>
      <c r="A29" s="1">
        <v>7.2</v>
      </c>
      <c r="B29" s="3" t="s">
        <v>56</v>
      </c>
      <c r="C29" s="96">
        <f>'6х6'!F61</f>
        <v>280000</v>
      </c>
      <c r="D29" s="96">
        <f>'6х6'!F75</f>
        <v>280000</v>
      </c>
      <c r="E29" s="96">
        <f>'6х6'!F84</f>
        <v>280000</v>
      </c>
      <c r="F29" s="96">
        <f>'6х6'!F95</f>
        <v>280000</v>
      </c>
      <c r="G29" s="96">
        <f t="shared" ref="G29:T29" si="1">F29</f>
        <v>280000</v>
      </c>
      <c r="H29" s="96">
        <f t="shared" si="1"/>
        <v>280000</v>
      </c>
      <c r="I29" s="96">
        <f t="shared" si="1"/>
        <v>280000</v>
      </c>
      <c r="J29" s="96">
        <f t="shared" si="1"/>
        <v>280000</v>
      </c>
      <c r="K29" s="96">
        <f t="shared" si="1"/>
        <v>280000</v>
      </c>
      <c r="L29" s="96">
        <f t="shared" si="1"/>
        <v>280000</v>
      </c>
      <c r="M29" s="96">
        <f t="shared" si="1"/>
        <v>280000</v>
      </c>
      <c r="N29" s="96">
        <f t="shared" si="1"/>
        <v>280000</v>
      </c>
      <c r="O29" s="96">
        <f t="shared" si="1"/>
        <v>280000</v>
      </c>
      <c r="P29" s="96">
        <f t="shared" si="1"/>
        <v>280000</v>
      </c>
      <c r="Q29" s="96">
        <f t="shared" si="1"/>
        <v>280000</v>
      </c>
      <c r="R29" s="96">
        <f t="shared" si="1"/>
        <v>280000</v>
      </c>
      <c r="S29" s="96">
        <f t="shared" si="1"/>
        <v>280000</v>
      </c>
      <c r="T29" s="96">
        <f t="shared" si="1"/>
        <v>280000</v>
      </c>
    </row>
    <row r="30" spans="1:20">
      <c r="A30" s="1">
        <v>7.3</v>
      </c>
      <c r="B30" s="3" t="s">
        <v>59</v>
      </c>
      <c r="C30" s="96">
        <f>'6х6'!F63</f>
        <v>22960</v>
      </c>
      <c r="D30" s="96">
        <f>'6х6'!F77</f>
        <v>22960</v>
      </c>
      <c r="E30" s="96"/>
      <c r="F30" s="96">
        <f>'6х6'!F97</f>
        <v>22960</v>
      </c>
      <c r="G30" s="96">
        <f>F30</f>
        <v>22960</v>
      </c>
      <c r="H30" s="96">
        <f t="shared" ref="H30:T30" si="2">G30</f>
        <v>22960</v>
      </c>
      <c r="I30" s="96">
        <f t="shared" si="2"/>
        <v>22960</v>
      </c>
      <c r="J30" s="96">
        <f t="shared" si="2"/>
        <v>22960</v>
      </c>
      <c r="K30" s="96">
        <f t="shared" si="2"/>
        <v>22960</v>
      </c>
      <c r="L30" s="96">
        <f t="shared" si="2"/>
        <v>22960</v>
      </c>
      <c r="M30" s="96">
        <f t="shared" si="2"/>
        <v>22960</v>
      </c>
      <c r="N30" s="96">
        <f t="shared" si="2"/>
        <v>22960</v>
      </c>
      <c r="O30" s="96">
        <f t="shared" si="2"/>
        <v>22960</v>
      </c>
      <c r="P30" s="96">
        <f t="shared" si="2"/>
        <v>22960</v>
      </c>
      <c r="Q30" s="96">
        <f t="shared" si="2"/>
        <v>22960</v>
      </c>
      <c r="R30" s="96">
        <f t="shared" si="2"/>
        <v>22960</v>
      </c>
      <c r="S30" s="96">
        <f t="shared" si="2"/>
        <v>22960</v>
      </c>
      <c r="T30" s="96">
        <f t="shared" si="2"/>
        <v>22960</v>
      </c>
    </row>
    <row r="31" spans="1:20">
      <c r="A31" s="2">
        <v>8</v>
      </c>
      <c r="B31" s="28" t="s">
        <v>83</v>
      </c>
      <c r="C31" s="96"/>
      <c r="D31" s="96"/>
      <c r="E31" s="95">
        <f>'6х6'!F86</f>
        <v>380000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>
      <c r="A32" s="2">
        <v>9</v>
      </c>
      <c r="B32" s="28" t="s">
        <v>90</v>
      </c>
      <c r="E32" s="95">
        <f>'6х6'!F90</f>
        <v>225000</v>
      </c>
      <c r="F32" s="95">
        <f>'6х6'!F101</f>
        <v>225000</v>
      </c>
      <c r="G32" s="99">
        <f>F32</f>
        <v>225000</v>
      </c>
      <c r="H32" s="99">
        <f t="shared" ref="H32:T32" si="3">G32</f>
        <v>225000</v>
      </c>
      <c r="I32" s="99">
        <f t="shared" si="3"/>
        <v>225000</v>
      </c>
      <c r="J32" s="99">
        <f t="shared" si="3"/>
        <v>225000</v>
      </c>
      <c r="K32" s="99">
        <f t="shared" si="3"/>
        <v>225000</v>
      </c>
      <c r="L32" s="99">
        <f t="shared" si="3"/>
        <v>225000</v>
      </c>
      <c r="M32" s="99">
        <f t="shared" si="3"/>
        <v>225000</v>
      </c>
      <c r="N32" s="99">
        <f t="shared" si="3"/>
        <v>225000</v>
      </c>
      <c r="O32" s="99">
        <f t="shared" si="3"/>
        <v>225000</v>
      </c>
      <c r="P32" s="99">
        <f t="shared" si="3"/>
        <v>225000</v>
      </c>
      <c r="Q32" s="99">
        <f t="shared" si="3"/>
        <v>225000</v>
      </c>
      <c r="R32" s="99">
        <f t="shared" si="3"/>
        <v>225000</v>
      </c>
      <c r="S32" s="99">
        <f t="shared" si="3"/>
        <v>225000</v>
      </c>
      <c r="T32" s="99">
        <f t="shared" si="3"/>
        <v>225000</v>
      </c>
    </row>
    <row r="33" spans="1:20">
      <c r="A33" s="2">
        <v>10</v>
      </c>
      <c r="B33" s="28" t="s">
        <v>129</v>
      </c>
      <c r="C33" s="95">
        <f>'6х6'!F67</f>
        <v>437066.08771929826</v>
      </c>
      <c r="D33" s="95">
        <f>'6х6'!F81</f>
        <v>136346</v>
      </c>
      <c r="E33" s="95">
        <f>'6х6'!F92</f>
        <v>88500</v>
      </c>
      <c r="F33" s="95">
        <f>'6х6'!F103</f>
        <v>52796</v>
      </c>
      <c r="G33" s="99">
        <f>F33</f>
        <v>52796</v>
      </c>
      <c r="H33" s="99">
        <f t="shared" ref="H33:T33" si="4">G33</f>
        <v>52796</v>
      </c>
      <c r="I33" s="99">
        <f t="shared" si="4"/>
        <v>52796</v>
      </c>
      <c r="J33" s="99">
        <f t="shared" si="4"/>
        <v>52796</v>
      </c>
      <c r="K33" s="99">
        <f t="shared" si="4"/>
        <v>52796</v>
      </c>
      <c r="L33" s="99">
        <f t="shared" si="4"/>
        <v>52796</v>
      </c>
      <c r="M33" s="99">
        <f t="shared" si="4"/>
        <v>52796</v>
      </c>
      <c r="N33" s="99">
        <f t="shared" si="4"/>
        <v>52796</v>
      </c>
      <c r="O33" s="99">
        <f t="shared" si="4"/>
        <v>52796</v>
      </c>
      <c r="P33" s="99">
        <f t="shared" si="4"/>
        <v>52796</v>
      </c>
      <c r="Q33" s="99">
        <f t="shared" si="4"/>
        <v>52796</v>
      </c>
      <c r="R33" s="99">
        <f t="shared" si="4"/>
        <v>52796</v>
      </c>
      <c r="S33" s="99">
        <f t="shared" si="4"/>
        <v>52796</v>
      </c>
      <c r="T33" s="99">
        <f t="shared" si="4"/>
        <v>52796</v>
      </c>
    </row>
    <row r="34" spans="1:20">
      <c r="A34" s="2">
        <v>11</v>
      </c>
      <c r="B34" s="28" t="s">
        <v>178</v>
      </c>
      <c r="C34" s="95"/>
      <c r="D34" s="95"/>
      <c r="E34" s="95"/>
      <c r="F34" s="95"/>
      <c r="G34" s="99"/>
      <c r="H34" s="99"/>
      <c r="I34" s="99"/>
      <c r="J34" s="99"/>
      <c r="K34" s="99"/>
      <c r="L34" s="99">
        <f>40000*3</f>
        <v>120000</v>
      </c>
      <c r="M34" s="99">
        <f t="shared" ref="M34" si="5">40000*3</f>
        <v>120000</v>
      </c>
      <c r="N34" s="99">
        <f>40000*4</f>
        <v>160000</v>
      </c>
      <c r="O34" s="99">
        <f>40000*5</f>
        <v>200000</v>
      </c>
      <c r="P34" s="99">
        <f>40000*6</f>
        <v>240000</v>
      </c>
      <c r="Q34" s="99"/>
      <c r="R34" s="99">
        <f>40000*15</f>
        <v>600000</v>
      </c>
      <c r="S34" s="99">
        <f>40000*16</f>
        <v>640000</v>
      </c>
      <c r="T34" s="99">
        <f>40000*17</f>
        <v>680000</v>
      </c>
    </row>
    <row r="35" spans="1:20">
      <c r="A35" s="1"/>
      <c r="B35" s="97" t="s">
        <v>169</v>
      </c>
      <c r="C35" s="98">
        <f>C4+C7+C10+C13+C19+C22+C27+C31+C32+C3+C33+C34-C17</f>
        <v>4562727.9649122804</v>
      </c>
      <c r="D35" s="98">
        <f t="shared" ref="D35:T35" si="6">D4+D7+D10+D13+D19+D22+D27+D31+D32+D3+D33+D34-D17</f>
        <v>1499808</v>
      </c>
      <c r="E35" s="98">
        <f t="shared" si="6"/>
        <v>973503</v>
      </c>
      <c r="F35" s="98">
        <f t="shared" si="6"/>
        <v>580760</v>
      </c>
      <c r="G35" s="98">
        <f t="shared" si="6"/>
        <v>580761</v>
      </c>
      <c r="H35" s="98">
        <f t="shared" si="6"/>
        <v>580762</v>
      </c>
      <c r="I35" s="98">
        <f t="shared" si="6"/>
        <v>580763</v>
      </c>
      <c r="J35" s="98">
        <f t="shared" si="6"/>
        <v>580764</v>
      </c>
      <c r="K35" s="98">
        <f t="shared" si="6"/>
        <v>580765</v>
      </c>
      <c r="L35" s="98">
        <f t="shared" si="6"/>
        <v>700766</v>
      </c>
      <c r="M35" s="98">
        <f t="shared" si="6"/>
        <v>700767</v>
      </c>
      <c r="N35" s="98">
        <f t="shared" si="6"/>
        <v>740768</v>
      </c>
      <c r="O35" s="98">
        <f t="shared" si="6"/>
        <v>780769</v>
      </c>
      <c r="P35" s="98">
        <f t="shared" si="6"/>
        <v>820770</v>
      </c>
      <c r="Q35" s="98">
        <f t="shared" si="6"/>
        <v>580771</v>
      </c>
      <c r="R35" s="98">
        <f t="shared" si="6"/>
        <v>1180772</v>
      </c>
      <c r="S35" s="98">
        <f t="shared" si="6"/>
        <v>1220773</v>
      </c>
      <c r="T35" s="98">
        <f t="shared" si="6"/>
        <v>1260774</v>
      </c>
    </row>
    <row r="36" spans="1:20">
      <c r="A36" s="1"/>
      <c r="B36" s="1"/>
    </row>
    <row r="37" spans="1:20">
      <c r="B37" s="93" t="s">
        <v>193</v>
      </c>
    </row>
  </sheetData>
  <pageMargins left="0.75" right="0.75" top="1" bottom="1" header="0.5" footer="0.5"/>
  <pageSetup orientation="portrait" horizontalDpi="4294967292" verticalDpi="4294967292"/>
  <ignoredErrors>
    <ignoredError sqref="C22:D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125" zoomScaleNormal="125" zoomScalePageLayoutView="125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D16" sqref="D16"/>
    </sheetView>
  </sheetViews>
  <sheetFormatPr baseColWidth="10" defaultRowHeight="15" x14ac:dyDescent="0"/>
  <cols>
    <col min="1" max="1" width="5.5" style="94" bestFit="1" customWidth="1"/>
    <col min="2" max="2" width="44.33203125" style="94" customWidth="1"/>
    <col min="3" max="4" width="11.6640625" style="94" bestFit="1" customWidth="1"/>
    <col min="5" max="5" width="11.83203125" style="94" bestFit="1" customWidth="1"/>
    <col min="6" max="6" width="11.6640625" style="94" bestFit="1" customWidth="1"/>
    <col min="7" max="16384" width="10.83203125" style="94"/>
  </cols>
  <sheetData>
    <row r="1" spans="1:20">
      <c r="B1" s="93" t="s">
        <v>175</v>
      </c>
    </row>
    <row r="2" spans="1:20">
      <c r="B2" s="101" t="s">
        <v>174</v>
      </c>
    </row>
    <row r="3" spans="1:20">
      <c r="B3" s="94" t="s">
        <v>168</v>
      </c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</row>
    <row r="4" spans="1:20" ht="30">
      <c r="A4" s="2">
        <v>1</v>
      </c>
      <c r="B4" s="28" t="s">
        <v>7</v>
      </c>
      <c r="C4" s="95">
        <f>C5+C6</f>
        <v>307500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>
      <c r="A5" s="1">
        <v>1.1000000000000001</v>
      </c>
      <c r="B5" s="3" t="s">
        <v>6</v>
      </c>
      <c r="C5" s="96">
        <f>'10х10'!F6</f>
        <v>205000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30">
      <c r="A6" s="1">
        <v>1.2</v>
      </c>
      <c r="B6" s="3" t="s">
        <v>128</v>
      </c>
      <c r="C6" s="96">
        <f>'10х10'!F9</f>
        <v>102500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30">
      <c r="A7" s="2">
        <v>2</v>
      </c>
      <c r="B7" s="28" t="s">
        <v>9</v>
      </c>
      <c r="C7" s="95">
        <f>C8+C9</f>
        <v>33825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>
      <c r="A8" s="1">
        <v>2.1</v>
      </c>
      <c r="B8" s="3" t="s">
        <v>170</v>
      </c>
      <c r="C8" s="96">
        <f>'10х10'!F13</f>
        <v>22550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30">
      <c r="A9" s="1">
        <v>2.2000000000000002</v>
      </c>
      <c r="B9" s="3" t="s">
        <v>128</v>
      </c>
      <c r="C9" s="96">
        <f>'10х10'!F16</f>
        <v>11275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30">
      <c r="A10" s="1">
        <v>3</v>
      </c>
      <c r="B10" s="28" t="s">
        <v>171</v>
      </c>
      <c r="C10" s="95">
        <f>C11+C12</f>
        <v>158550.00000000003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>
      <c r="A11" s="1">
        <v>3.1</v>
      </c>
      <c r="B11" s="3" t="s">
        <v>170</v>
      </c>
      <c r="C11" s="96">
        <f>'10х10'!F21</f>
        <v>144200.00000000003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ht="30">
      <c r="A12" s="1">
        <v>3.2</v>
      </c>
      <c r="B12" s="3" t="s">
        <v>128</v>
      </c>
      <c r="C12" s="96">
        <f>'10х10'!F24</f>
        <v>14350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>
      <c r="A13" s="2">
        <v>4</v>
      </c>
      <c r="B13" s="28" t="s">
        <v>25</v>
      </c>
      <c r="C13" s="95">
        <f>SUM(C14:C18)</f>
        <v>1145000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>
      <c r="A14" s="1">
        <v>4.0999999999999996</v>
      </c>
      <c r="B14" s="3" t="s">
        <v>66</v>
      </c>
      <c r="C14" s="96">
        <f>'10х10'!F29</f>
        <v>100000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>
      <c r="A15" s="1">
        <v>4.2</v>
      </c>
      <c r="B15" s="3" t="s">
        <v>17</v>
      </c>
      <c r="C15" s="96">
        <f>'10х10'!F32</f>
        <v>500000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30">
      <c r="A16" s="1">
        <v>4.3</v>
      </c>
      <c r="B16" s="3" t="s">
        <v>23</v>
      </c>
      <c r="C16" s="96">
        <f>'10х10'!F35</f>
        <v>125000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>
      <c r="A17" s="1">
        <v>4.4000000000000004</v>
      </c>
      <c r="B17" s="119" t="s">
        <v>151</v>
      </c>
      <c r="C17" s="120">
        <f>'10х10'!F38</f>
        <v>245000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>
      <c r="A18" s="1">
        <v>4.5</v>
      </c>
      <c r="B18" s="3" t="s">
        <v>24</v>
      </c>
      <c r="C18" s="96">
        <f>'10х10'!F41</f>
        <v>175000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>
      <c r="A19" s="2">
        <v>5</v>
      </c>
      <c r="B19" s="28" t="s">
        <v>26</v>
      </c>
      <c r="C19" s="95">
        <f>SUM(C20:C21)</f>
        <v>76982.456140350871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>
      <c r="A20" s="1">
        <v>5.0999999999999996</v>
      </c>
      <c r="B20" s="3" t="s">
        <v>27</v>
      </c>
      <c r="C20" s="96">
        <f>'10х10'!F44</f>
        <v>60982.456140350871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>
      <c r="A21" s="1">
        <v>5.2</v>
      </c>
      <c r="B21" s="3" t="s">
        <v>31</v>
      </c>
      <c r="C21" s="96">
        <f>'10х10'!F48</f>
        <v>16000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>
      <c r="A22" s="2">
        <v>6</v>
      </c>
      <c r="B22" s="28" t="s">
        <v>41</v>
      </c>
      <c r="C22" s="95">
        <f>SUM(C23:C26)</f>
        <v>331250</v>
      </c>
      <c r="D22" s="95">
        <f>SUM(D23:D26)</f>
        <v>66250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>
      <c r="A23" s="1">
        <v>6.1</v>
      </c>
      <c r="B23" s="3" t="s">
        <v>45</v>
      </c>
      <c r="C23" s="96">
        <f>'10х10'!F53</f>
        <v>300000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spans="1:20">
      <c r="A24" s="1">
        <v>6.2</v>
      </c>
      <c r="B24" s="3" t="s">
        <v>42</v>
      </c>
      <c r="C24" s="96">
        <f>'10х10'!F54</f>
        <v>31250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spans="1:20">
      <c r="A25" s="1">
        <v>6.3</v>
      </c>
      <c r="B25" s="3" t="s">
        <v>81</v>
      </c>
      <c r="C25" s="96"/>
      <c r="D25" s="96">
        <f>'10х10'!F71</f>
        <v>60000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  <row r="26" spans="1:20">
      <c r="A26" s="1">
        <v>6.4</v>
      </c>
      <c r="B26" s="3" t="s">
        <v>42</v>
      </c>
      <c r="C26" s="96"/>
      <c r="D26" s="96">
        <f>'10х10'!F72</f>
        <v>6250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</row>
    <row r="27" spans="1:20">
      <c r="A27" s="2">
        <v>7</v>
      </c>
      <c r="B27" s="28" t="s">
        <v>50</v>
      </c>
      <c r="C27" s="95">
        <f>SUM(C28:C30)</f>
        <v>997960</v>
      </c>
      <c r="D27" s="95">
        <f>SUM(D28:D30)</f>
        <v>997960</v>
      </c>
      <c r="E27" s="95">
        <f>SUM(E28:E30)</f>
        <v>100000</v>
      </c>
      <c r="F27" s="95">
        <f>SUM(F28:F30)</f>
        <v>122960</v>
      </c>
      <c r="G27" s="95">
        <f t="shared" ref="G27:T27" si="0">SUM(G28:G30)</f>
        <v>122960</v>
      </c>
      <c r="H27" s="95">
        <f t="shared" si="0"/>
        <v>122960</v>
      </c>
      <c r="I27" s="95">
        <f t="shared" si="0"/>
        <v>122960</v>
      </c>
      <c r="J27" s="95">
        <f t="shared" si="0"/>
        <v>122960</v>
      </c>
      <c r="K27" s="95">
        <f t="shared" si="0"/>
        <v>122960</v>
      </c>
      <c r="L27" s="95">
        <f t="shared" si="0"/>
        <v>122960</v>
      </c>
      <c r="M27" s="95">
        <f t="shared" si="0"/>
        <v>122960</v>
      </c>
      <c r="N27" s="95">
        <f t="shared" si="0"/>
        <v>122960</v>
      </c>
      <c r="O27" s="95">
        <f t="shared" si="0"/>
        <v>122960</v>
      </c>
      <c r="P27" s="95">
        <f t="shared" si="0"/>
        <v>122960</v>
      </c>
      <c r="Q27" s="95">
        <f t="shared" si="0"/>
        <v>122960</v>
      </c>
      <c r="R27" s="95">
        <f t="shared" si="0"/>
        <v>122960</v>
      </c>
      <c r="S27" s="95">
        <f t="shared" si="0"/>
        <v>122960</v>
      </c>
      <c r="T27" s="95">
        <f t="shared" si="0"/>
        <v>122960</v>
      </c>
    </row>
    <row r="28" spans="1:20">
      <c r="A28" s="1">
        <v>7.1</v>
      </c>
      <c r="B28" s="3" t="s">
        <v>55</v>
      </c>
      <c r="C28" s="96">
        <f>'10х10'!F59</f>
        <v>875000</v>
      </c>
      <c r="D28" s="96">
        <f>'10х10'!F73</f>
        <v>875000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</row>
    <row r="29" spans="1:20">
      <c r="A29" s="1">
        <v>7.2</v>
      </c>
      <c r="B29" s="3" t="s">
        <v>56</v>
      </c>
      <c r="C29" s="96">
        <f>'10х10'!F61</f>
        <v>100000</v>
      </c>
      <c r="D29" s="96">
        <f>'10х10'!F75</f>
        <v>100000</v>
      </c>
      <c r="E29" s="96">
        <f>'10х10'!F84</f>
        <v>100000</v>
      </c>
      <c r="F29" s="96">
        <f>'10х10'!F95</f>
        <v>100000</v>
      </c>
      <c r="G29" s="96">
        <f t="shared" ref="G29:T30" si="1">F29</f>
        <v>100000</v>
      </c>
      <c r="H29" s="96">
        <f t="shared" si="1"/>
        <v>100000</v>
      </c>
      <c r="I29" s="96">
        <f t="shared" si="1"/>
        <v>100000</v>
      </c>
      <c r="J29" s="96">
        <f t="shared" si="1"/>
        <v>100000</v>
      </c>
      <c r="K29" s="96">
        <f t="shared" si="1"/>
        <v>100000</v>
      </c>
      <c r="L29" s="96">
        <f t="shared" si="1"/>
        <v>100000</v>
      </c>
      <c r="M29" s="96">
        <f t="shared" si="1"/>
        <v>100000</v>
      </c>
      <c r="N29" s="96">
        <f t="shared" si="1"/>
        <v>100000</v>
      </c>
      <c r="O29" s="96">
        <f t="shared" si="1"/>
        <v>100000</v>
      </c>
      <c r="P29" s="96">
        <f t="shared" si="1"/>
        <v>100000</v>
      </c>
      <c r="Q29" s="96">
        <f t="shared" si="1"/>
        <v>100000</v>
      </c>
      <c r="R29" s="96">
        <f t="shared" si="1"/>
        <v>100000</v>
      </c>
      <c r="S29" s="96">
        <f t="shared" si="1"/>
        <v>100000</v>
      </c>
      <c r="T29" s="96">
        <f t="shared" si="1"/>
        <v>100000</v>
      </c>
    </row>
    <row r="30" spans="1:20">
      <c r="A30" s="1">
        <v>7.3</v>
      </c>
      <c r="B30" s="3" t="s">
        <v>59</v>
      </c>
      <c r="C30" s="96">
        <f>'10х10'!F63</f>
        <v>22960</v>
      </c>
      <c r="D30" s="96">
        <f>'10х10'!F77</f>
        <v>22960</v>
      </c>
      <c r="E30" s="96"/>
      <c r="F30" s="96">
        <f>'10х10'!F97</f>
        <v>22960</v>
      </c>
      <c r="G30" s="96">
        <f>F30</f>
        <v>22960</v>
      </c>
      <c r="H30" s="96">
        <f t="shared" si="1"/>
        <v>22960</v>
      </c>
      <c r="I30" s="96">
        <f t="shared" si="1"/>
        <v>22960</v>
      </c>
      <c r="J30" s="96">
        <f t="shared" si="1"/>
        <v>22960</v>
      </c>
      <c r="K30" s="96">
        <f t="shared" si="1"/>
        <v>22960</v>
      </c>
      <c r="L30" s="96">
        <f t="shared" si="1"/>
        <v>22960</v>
      </c>
      <c r="M30" s="96">
        <f t="shared" si="1"/>
        <v>22960</v>
      </c>
      <c r="N30" s="96">
        <f t="shared" si="1"/>
        <v>22960</v>
      </c>
      <c r="O30" s="96">
        <f t="shared" si="1"/>
        <v>22960</v>
      </c>
      <c r="P30" s="96">
        <f t="shared" si="1"/>
        <v>22960</v>
      </c>
      <c r="Q30" s="96">
        <f t="shared" si="1"/>
        <v>22960</v>
      </c>
      <c r="R30" s="96">
        <f t="shared" si="1"/>
        <v>22960</v>
      </c>
      <c r="S30" s="96">
        <f t="shared" si="1"/>
        <v>22960</v>
      </c>
      <c r="T30" s="96">
        <f t="shared" si="1"/>
        <v>22960</v>
      </c>
    </row>
    <row r="31" spans="1:20">
      <c r="A31" s="2">
        <v>8</v>
      </c>
      <c r="B31" s="28" t="s">
        <v>83</v>
      </c>
      <c r="C31" s="96"/>
      <c r="D31" s="96"/>
      <c r="E31" s="95">
        <f>'10х10'!F86</f>
        <v>200000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</row>
    <row r="32" spans="1:20">
      <c r="A32" s="2">
        <v>9</v>
      </c>
      <c r="B32" s="28" t="s">
        <v>90</v>
      </c>
      <c r="E32" s="95">
        <f>'10х10'!F90</f>
        <v>225000</v>
      </c>
      <c r="F32" s="95">
        <f>'10х10'!F101</f>
        <v>225000</v>
      </c>
      <c r="G32" s="99">
        <f>F32</f>
        <v>225000</v>
      </c>
      <c r="H32" s="99">
        <f t="shared" ref="H32:T33" si="2">G32</f>
        <v>225000</v>
      </c>
      <c r="I32" s="99">
        <f t="shared" si="2"/>
        <v>225000</v>
      </c>
      <c r="J32" s="99">
        <f t="shared" si="2"/>
        <v>225000</v>
      </c>
      <c r="K32" s="99">
        <f t="shared" si="2"/>
        <v>225000</v>
      </c>
      <c r="L32" s="99">
        <f t="shared" si="2"/>
        <v>225000</v>
      </c>
      <c r="M32" s="99">
        <f t="shared" si="2"/>
        <v>225000</v>
      </c>
      <c r="N32" s="99">
        <f t="shared" si="2"/>
        <v>225000</v>
      </c>
      <c r="O32" s="99">
        <f t="shared" si="2"/>
        <v>225000</v>
      </c>
      <c r="P32" s="99">
        <f t="shared" si="2"/>
        <v>225000</v>
      </c>
      <c r="Q32" s="99">
        <f t="shared" si="2"/>
        <v>225000</v>
      </c>
      <c r="R32" s="99">
        <f t="shared" si="2"/>
        <v>225000</v>
      </c>
      <c r="S32" s="99">
        <f t="shared" si="2"/>
        <v>225000</v>
      </c>
      <c r="T32" s="99">
        <f t="shared" si="2"/>
        <v>225000</v>
      </c>
    </row>
    <row r="33" spans="1:20">
      <c r="A33" s="2">
        <v>10</v>
      </c>
      <c r="B33" s="28" t="s">
        <v>129</v>
      </c>
      <c r="C33" s="95">
        <f>'10х10'!F67</f>
        <v>305106.74561403506</v>
      </c>
      <c r="D33" s="95">
        <f>'10х10'!F81</f>
        <v>106421</v>
      </c>
      <c r="E33" s="95">
        <f>'10х10'!F92</f>
        <v>52500</v>
      </c>
      <c r="F33" s="95">
        <f>'10х10'!F103</f>
        <v>34796</v>
      </c>
      <c r="G33" s="99">
        <f>F33</f>
        <v>34796</v>
      </c>
      <c r="H33" s="99">
        <f t="shared" si="2"/>
        <v>34796</v>
      </c>
      <c r="I33" s="99">
        <f t="shared" si="2"/>
        <v>34796</v>
      </c>
      <c r="J33" s="99">
        <f t="shared" si="2"/>
        <v>34796</v>
      </c>
      <c r="K33" s="99">
        <f t="shared" si="2"/>
        <v>34796</v>
      </c>
      <c r="L33" s="99">
        <f t="shared" si="2"/>
        <v>34796</v>
      </c>
      <c r="M33" s="99">
        <f t="shared" si="2"/>
        <v>34796</v>
      </c>
      <c r="N33" s="99">
        <f t="shared" si="2"/>
        <v>34796</v>
      </c>
      <c r="O33" s="99">
        <f t="shared" si="2"/>
        <v>34796</v>
      </c>
      <c r="P33" s="99">
        <f t="shared" si="2"/>
        <v>34796</v>
      </c>
      <c r="Q33" s="99">
        <f t="shared" si="2"/>
        <v>34796</v>
      </c>
      <c r="R33" s="99">
        <f t="shared" si="2"/>
        <v>34796</v>
      </c>
      <c r="S33" s="99">
        <f t="shared" si="2"/>
        <v>34796</v>
      </c>
      <c r="T33" s="99">
        <f t="shared" si="2"/>
        <v>34796</v>
      </c>
    </row>
    <row r="34" spans="1:20">
      <c r="A34" s="2">
        <v>11</v>
      </c>
      <c r="B34" s="28" t="s">
        <v>178</v>
      </c>
      <c r="C34" s="95"/>
      <c r="D34" s="95"/>
      <c r="E34" s="95"/>
      <c r="F34" s="95"/>
      <c r="G34" s="99"/>
      <c r="H34" s="99"/>
      <c r="I34" s="99"/>
      <c r="J34" s="99"/>
      <c r="K34" s="99"/>
      <c r="L34" s="99">
        <f>40000*3</f>
        <v>120000</v>
      </c>
      <c r="M34" s="99">
        <f t="shared" ref="M34" si="3">40000*3</f>
        <v>120000</v>
      </c>
      <c r="N34" s="99">
        <f>40000*4</f>
        <v>160000</v>
      </c>
      <c r="O34" s="99">
        <f>40000*5</f>
        <v>200000</v>
      </c>
      <c r="P34" s="99">
        <f>40000*6</f>
        <v>240000</v>
      </c>
      <c r="Q34" s="99"/>
      <c r="R34" s="99">
        <f>40000*15</f>
        <v>600000</v>
      </c>
      <c r="S34" s="99">
        <f>40000*16</f>
        <v>640000</v>
      </c>
      <c r="T34" s="99">
        <f>40000*17</f>
        <v>680000</v>
      </c>
    </row>
    <row r="35" spans="1:20">
      <c r="A35" s="1"/>
      <c r="B35" s="97" t="s">
        <v>169</v>
      </c>
      <c r="C35" s="98">
        <f>C4+C7+C10+C13+C19+C22+C27+C31+C32+C33+C34-C17</f>
        <v>3111174.2017543856</v>
      </c>
      <c r="D35" s="98">
        <f t="shared" ref="D35:T35" si="4">D4+D7+D10+D13+D19+D22+D27+D31+D32+D33+D34-D17</f>
        <v>1170631</v>
      </c>
      <c r="E35" s="98">
        <f t="shared" si="4"/>
        <v>577500</v>
      </c>
      <c r="F35" s="98">
        <f t="shared" si="4"/>
        <v>382756</v>
      </c>
      <c r="G35" s="98">
        <f t="shared" si="4"/>
        <v>382756</v>
      </c>
      <c r="H35" s="98">
        <f t="shared" si="4"/>
        <v>382756</v>
      </c>
      <c r="I35" s="98">
        <f t="shared" si="4"/>
        <v>382756</v>
      </c>
      <c r="J35" s="98">
        <f t="shared" si="4"/>
        <v>382756</v>
      </c>
      <c r="K35" s="98">
        <f t="shared" si="4"/>
        <v>382756</v>
      </c>
      <c r="L35" s="98">
        <f t="shared" si="4"/>
        <v>502756</v>
      </c>
      <c r="M35" s="98">
        <f t="shared" si="4"/>
        <v>502756</v>
      </c>
      <c r="N35" s="98">
        <f t="shared" si="4"/>
        <v>542756</v>
      </c>
      <c r="O35" s="98">
        <f t="shared" si="4"/>
        <v>582756</v>
      </c>
      <c r="P35" s="98">
        <f t="shared" si="4"/>
        <v>622756</v>
      </c>
      <c r="Q35" s="98">
        <f t="shared" si="4"/>
        <v>382756</v>
      </c>
      <c r="R35" s="98">
        <f t="shared" si="4"/>
        <v>982756</v>
      </c>
      <c r="S35" s="98">
        <f t="shared" si="4"/>
        <v>1022756</v>
      </c>
      <c r="T35" s="98">
        <f t="shared" si="4"/>
        <v>1062756</v>
      </c>
    </row>
    <row r="36" spans="1:20">
      <c r="A36" s="1"/>
      <c r="B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zoomScale="125" zoomScaleNormal="125" zoomScalePageLayoutView="125" workbookViewId="0">
      <pane ySplit="1" topLeftCell="A2" activePane="bottomLeft" state="frozen"/>
      <selection pane="bottomLeft" activeCell="I23" sqref="I23"/>
    </sheetView>
  </sheetViews>
  <sheetFormatPr baseColWidth="10" defaultColWidth="8.83203125" defaultRowHeight="15" x14ac:dyDescent="0"/>
  <cols>
    <col min="1" max="1" width="15.1640625" style="48" customWidth="1"/>
    <col min="2" max="2" width="14.1640625" style="48" customWidth="1"/>
    <col min="3" max="3" width="6.5" style="48" customWidth="1"/>
    <col min="4" max="5" width="8.83203125" style="48" customWidth="1"/>
    <col min="6" max="6" width="10.5" style="48" customWidth="1"/>
    <col min="7" max="7" width="11" style="48" customWidth="1"/>
    <col min="8" max="8" width="12.83203125" style="48" customWidth="1"/>
    <col min="9" max="9" width="8.5" style="48" customWidth="1"/>
    <col min="10" max="10" width="16" style="48" customWidth="1"/>
    <col min="11" max="11" width="11.5" style="48" customWidth="1"/>
    <col min="12" max="16384" width="8.83203125" style="48"/>
  </cols>
  <sheetData>
    <row r="1" spans="1:16">
      <c r="A1" s="47" t="s">
        <v>149</v>
      </c>
    </row>
    <row r="3" spans="1:16">
      <c r="A3" s="49" t="s">
        <v>135</v>
      </c>
    </row>
    <row r="4" spans="1:16" ht="45">
      <c r="A4" s="144" t="s">
        <v>111</v>
      </c>
      <c r="B4" s="144" t="s">
        <v>148</v>
      </c>
      <c r="C4" s="146" t="s">
        <v>43</v>
      </c>
      <c r="D4" s="146"/>
      <c r="E4" s="146"/>
      <c r="F4" s="39" t="s">
        <v>112</v>
      </c>
      <c r="G4" s="39" t="s">
        <v>113</v>
      </c>
      <c r="H4" s="39" t="s">
        <v>114</v>
      </c>
      <c r="I4" s="39" t="s">
        <v>115</v>
      </c>
      <c r="J4" s="39" t="s">
        <v>150</v>
      </c>
      <c r="K4" s="39" t="s">
        <v>116</v>
      </c>
    </row>
    <row r="5" spans="1:16" ht="16" thickBot="1">
      <c r="A5" s="145"/>
      <c r="B5" s="145"/>
      <c r="C5" s="40" t="s">
        <v>44</v>
      </c>
      <c r="D5" s="40" t="s">
        <v>117</v>
      </c>
      <c r="E5" s="40" t="s">
        <v>118</v>
      </c>
      <c r="F5" s="40" t="s">
        <v>118</v>
      </c>
      <c r="G5" s="40" t="s">
        <v>118</v>
      </c>
      <c r="H5" s="40" t="s">
        <v>118</v>
      </c>
      <c r="I5" s="40" t="s">
        <v>118</v>
      </c>
      <c r="J5" s="40" t="s">
        <v>118</v>
      </c>
      <c r="K5" s="40" t="s">
        <v>118</v>
      </c>
    </row>
    <row r="6" spans="1:16" ht="20" customHeight="1" thickTop="1">
      <c r="A6" s="41" t="s">
        <v>119</v>
      </c>
      <c r="B6" s="42">
        <v>0.75</v>
      </c>
      <c r="C6" s="43">
        <v>10</v>
      </c>
      <c r="D6" s="43">
        <v>800</v>
      </c>
      <c r="E6" s="43">
        <f>C6*D6*B6</f>
        <v>6000</v>
      </c>
      <c r="F6" s="43">
        <v>15000</v>
      </c>
      <c r="G6" s="43">
        <f>125000*B6</f>
        <v>93750</v>
      </c>
      <c r="H6" s="43">
        <v>25000</v>
      </c>
      <c r="I6" s="43">
        <v>20000</v>
      </c>
      <c r="J6" s="43">
        <v>15000</v>
      </c>
      <c r="K6" s="43">
        <f>E6+F6+G6+H6+I6+J6</f>
        <v>174750</v>
      </c>
    </row>
    <row r="7" spans="1:16" ht="20" customHeight="1">
      <c r="A7" s="41" t="s">
        <v>120</v>
      </c>
      <c r="B7" s="42">
        <v>0.75</v>
      </c>
      <c r="C7" s="43">
        <v>50</v>
      </c>
      <c r="D7" s="43">
        <v>2500</v>
      </c>
      <c r="E7" s="43">
        <f>C7*D7*B7</f>
        <v>93750</v>
      </c>
      <c r="F7" s="43">
        <v>15000</v>
      </c>
      <c r="G7" s="43">
        <f>125000*B7</f>
        <v>93750</v>
      </c>
      <c r="H7" s="43">
        <v>25000</v>
      </c>
      <c r="I7" s="43">
        <v>20000</v>
      </c>
      <c r="J7" s="43">
        <v>15000</v>
      </c>
      <c r="K7" s="43">
        <f>E7+F7+G7+H7+I7+J7</f>
        <v>262500</v>
      </c>
    </row>
    <row r="8" spans="1:16" ht="20" customHeight="1">
      <c r="A8" s="41" t="s">
        <v>121</v>
      </c>
      <c r="B8" s="42">
        <v>0.75</v>
      </c>
      <c r="C8" s="43">
        <v>4</v>
      </c>
      <c r="D8" s="43">
        <v>5000</v>
      </c>
      <c r="E8" s="43">
        <f>C8*D8*B8</f>
        <v>15000</v>
      </c>
      <c r="F8" s="43">
        <v>30000</v>
      </c>
      <c r="G8" s="43">
        <f>108000*B8</f>
        <v>81000</v>
      </c>
      <c r="H8" s="43">
        <v>50000</v>
      </c>
      <c r="I8" s="43">
        <v>50000</v>
      </c>
      <c r="J8" s="43">
        <v>30000</v>
      </c>
      <c r="K8" s="43">
        <f>E8+F8+G8+H8+I8+J8</f>
        <v>256000</v>
      </c>
    </row>
    <row r="9" spans="1:16" ht="20" customHeight="1">
      <c r="A9" s="44" t="s">
        <v>122</v>
      </c>
      <c r="B9" s="45">
        <v>0.75</v>
      </c>
      <c r="C9" s="46">
        <v>20</v>
      </c>
      <c r="D9" s="46">
        <v>1500</v>
      </c>
      <c r="E9" s="46">
        <f>C9*D9*B9</f>
        <v>22500</v>
      </c>
      <c r="F9" s="46">
        <v>21000</v>
      </c>
      <c r="G9" s="46">
        <f>150000*B9</f>
        <v>112500</v>
      </c>
      <c r="H9" s="46">
        <v>0</v>
      </c>
      <c r="I9" s="46">
        <v>40000</v>
      </c>
      <c r="J9" s="46">
        <v>0</v>
      </c>
      <c r="K9" s="46">
        <f>E9+F9+G9+H9+I9+J9</f>
        <v>196000</v>
      </c>
    </row>
    <row r="10" spans="1:16" ht="20" customHeight="1">
      <c r="A10" s="41"/>
      <c r="B10" s="42"/>
      <c r="C10" s="43"/>
      <c r="D10" s="43"/>
      <c r="E10" s="43"/>
      <c r="F10" s="43"/>
      <c r="G10" s="43"/>
      <c r="H10" s="43"/>
      <c r="I10" s="43"/>
      <c r="J10" s="43"/>
      <c r="K10" s="43"/>
    </row>
    <row r="11" spans="1:16" ht="20" customHeight="1">
      <c r="A11" s="56" t="s">
        <v>147</v>
      </c>
      <c r="B11" s="57"/>
      <c r="C11" s="57"/>
      <c r="D11" s="58"/>
      <c r="E11" s="59"/>
      <c r="F11" s="60">
        <v>2.5</v>
      </c>
      <c r="G11" s="43"/>
      <c r="H11" s="43"/>
      <c r="I11" s="43"/>
      <c r="J11" s="43"/>
      <c r="K11" s="42"/>
      <c r="L11" s="61"/>
      <c r="M11" s="61"/>
      <c r="N11" s="61"/>
      <c r="O11" s="61"/>
      <c r="P11" s="61"/>
    </row>
    <row r="12" spans="1:16" ht="20" customHeight="1">
      <c r="A12" s="43"/>
      <c r="B12" s="42"/>
      <c r="C12" s="43"/>
      <c r="D12" s="43"/>
      <c r="E12" s="43"/>
      <c r="F12" s="43"/>
      <c r="G12" s="43"/>
      <c r="H12" s="43"/>
      <c r="I12" s="43"/>
      <c r="J12" s="43"/>
      <c r="K12" s="43"/>
    </row>
    <row r="13" spans="1:16">
      <c r="A13" s="60" t="s">
        <v>136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6" ht="65" customHeight="1">
      <c r="A14" s="147" t="s">
        <v>111</v>
      </c>
      <c r="B14" s="147" t="s">
        <v>148</v>
      </c>
      <c r="C14" s="149" t="s">
        <v>43</v>
      </c>
      <c r="D14" s="149"/>
      <c r="E14" s="149"/>
      <c r="F14" s="79" t="s">
        <v>112</v>
      </c>
      <c r="G14" s="79" t="s">
        <v>113</v>
      </c>
      <c r="H14" s="79" t="s">
        <v>114</v>
      </c>
      <c r="I14" s="79" t="s">
        <v>115</v>
      </c>
      <c r="J14" s="79" t="s">
        <v>150</v>
      </c>
      <c r="K14" s="79" t="s">
        <v>116</v>
      </c>
    </row>
    <row r="15" spans="1:16" ht="16" thickBot="1">
      <c r="A15" s="148"/>
      <c r="B15" s="148"/>
      <c r="C15" s="80" t="s">
        <v>44</v>
      </c>
      <c r="D15" s="80" t="s">
        <v>117</v>
      </c>
      <c r="E15" s="80" t="s">
        <v>118</v>
      </c>
      <c r="F15" s="80" t="s">
        <v>118</v>
      </c>
      <c r="G15" s="80" t="s">
        <v>118</v>
      </c>
      <c r="H15" s="80" t="s">
        <v>118</v>
      </c>
      <c r="I15" s="80" t="s">
        <v>118</v>
      </c>
      <c r="J15" s="80" t="s">
        <v>118</v>
      </c>
      <c r="K15" s="80" t="s">
        <v>118</v>
      </c>
    </row>
    <row r="16" spans="1:16" ht="26" customHeight="1" thickTop="1">
      <c r="A16" s="81" t="s">
        <v>119</v>
      </c>
      <c r="B16" s="82">
        <v>0.75</v>
      </c>
      <c r="C16" s="83">
        <v>10</v>
      </c>
      <c r="D16" s="103">
        <f>D6*$F$11</f>
        <v>2000</v>
      </c>
      <c r="E16" s="103">
        <f>C16*D16*B16</f>
        <v>15000</v>
      </c>
      <c r="F16" s="103">
        <f t="shared" ref="F16:J16" si="0">F6*$F$11</f>
        <v>37500</v>
      </c>
      <c r="G16" s="103">
        <f t="shared" si="0"/>
        <v>234375</v>
      </c>
      <c r="H16" s="103">
        <f t="shared" si="0"/>
        <v>62500</v>
      </c>
      <c r="I16" s="103">
        <f t="shared" si="0"/>
        <v>50000</v>
      </c>
      <c r="J16" s="103">
        <f t="shared" si="0"/>
        <v>37500</v>
      </c>
      <c r="K16" s="103">
        <f>E16+F16+G16+H16+I16+J16</f>
        <v>436875</v>
      </c>
    </row>
    <row r="17" spans="1:11" ht="26" customHeight="1">
      <c r="A17" s="81" t="s">
        <v>120</v>
      </c>
      <c r="B17" s="82">
        <v>0.75</v>
      </c>
      <c r="C17" s="83">
        <v>50</v>
      </c>
      <c r="D17" s="103">
        <f t="shared" ref="D17:D19" si="1">D7*$F$11</f>
        <v>6250</v>
      </c>
      <c r="E17" s="103">
        <f>C17*D17*B17</f>
        <v>234375</v>
      </c>
      <c r="F17" s="103">
        <f t="shared" ref="F17:J17" si="2">F7*$F$11</f>
        <v>37500</v>
      </c>
      <c r="G17" s="103">
        <f t="shared" si="2"/>
        <v>234375</v>
      </c>
      <c r="H17" s="103">
        <f t="shared" si="2"/>
        <v>62500</v>
      </c>
      <c r="I17" s="103">
        <f t="shared" si="2"/>
        <v>50000</v>
      </c>
      <c r="J17" s="103">
        <f t="shared" si="2"/>
        <v>37500</v>
      </c>
      <c r="K17" s="103">
        <f>E17+F17+G17+H17+I17+J17</f>
        <v>656250</v>
      </c>
    </row>
    <row r="18" spans="1:11" ht="26" customHeight="1">
      <c r="A18" s="81" t="s">
        <v>121</v>
      </c>
      <c r="B18" s="82">
        <v>0.75</v>
      </c>
      <c r="C18" s="83">
        <v>4</v>
      </c>
      <c r="D18" s="103">
        <f t="shared" si="1"/>
        <v>12500</v>
      </c>
      <c r="E18" s="103">
        <f>C18*D18*B18</f>
        <v>37500</v>
      </c>
      <c r="F18" s="103">
        <f t="shared" ref="F18:J18" si="3">F8*$F$11</f>
        <v>75000</v>
      </c>
      <c r="G18" s="103">
        <f t="shared" si="3"/>
        <v>202500</v>
      </c>
      <c r="H18" s="103">
        <f t="shared" si="3"/>
        <v>125000</v>
      </c>
      <c r="I18" s="103">
        <f t="shared" si="3"/>
        <v>125000</v>
      </c>
      <c r="J18" s="103">
        <f t="shared" si="3"/>
        <v>75000</v>
      </c>
      <c r="K18" s="103">
        <f>E18+F18+G18+H18+I18+J18</f>
        <v>640000</v>
      </c>
    </row>
    <row r="19" spans="1:11" ht="26" customHeight="1">
      <c r="A19" s="81" t="s">
        <v>122</v>
      </c>
      <c r="B19" s="82">
        <v>0.75</v>
      </c>
      <c r="C19" s="83">
        <v>20</v>
      </c>
      <c r="D19" s="103">
        <f t="shared" si="1"/>
        <v>3750</v>
      </c>
      <c r="E19" s="103">
        <f>C19*D19*B19</f>
        <v>56250</v>
      </c>
      <c r="F19" s="103">
        <f t="shared" ref="F19:J19" si="4">F9*$F$11</f>
        <v>52500</v>
      </c>
      <c r="G19" s="103">
        <f t="shared" si="4"/>
        <v>281250</v>
      </c>
      <c r="H19" s="103">
        <f t="shared" si="4"/>
        <v>0</v>
      </c>
      <c r="I19" s="103">
        <f t="shared" si="4"/>
        <v>100000</v>
      </c>
      <c r="J19" s="103">
        <f t="shared" si="4"/>
        <v>0</v>
      </c>
      <c r="K19" s="103">
        <f>E19+F19+G19+H19+I19+J19</f>
        <v>490000</v>
      </c>
    </row>
    <row r="20" spans="1:11">
      <c r="A20" s="44" t="s">
        <v>151</v>
      </c>
      <c r="B20" s="46"/>
      <c r="C20" s="46"/>
      <c r="D20" s="46"/>
      <c r="E20" s="46"/>
      <c r="F20" s="46">
        <f>'свод 6х6'!C17</f>
        <v>245000</v>
      </c>
      <c r="G20" s="46"/>
      <c r="H20" s="46"/>
      <c r="I20" s="143">
        <v>300000</v>
      </c>
      <c r="J20" s="46"/>
      <c r="K20" s="117">
        <f>'6х6'!F38</f>
        <v>245000</v>
      </c>
    </row>
    <row r="22" spans="1:11">
      <c r="A22" s="142"/>
    </row>
  </sheetData>
  <mergeCells count="6">
    <mergeCell ref="A4:A5"/>
    <mergeCell ref="B4:B5"/>
    <mergeCell ref="C4:E4"/>
    <mergeCell ref="A14:A15"/>
    <mergeCell ref="B14:B15"/>
    <mergeCell ref="C14:E14"/>
  </mergeCells>
  <pageMargins left="0.7" right="0.7" top="0.75" bottom="0.75" header="0.3" footer="0.3"/>
  <pageSetup orientation="portrait" horizontalDpi="4294967292" verticalDpi="4294967292"/>
  <ignoredErrors>
    <ignoredError sqref="E17:E19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125" zoomScaleNormal="125" zoomScalePageLayoutView="125" workbookViewId="0">
      <selection activeCell="D21" sqref="D21"/>
    </sheetView>
  </sheetViews>
  <sheetFormatPr baseColWidth="10" defaultColWidth="9.1640625" defaultRowHeight="15" x14ac:dyDescent="0"/>
  <cols>
    <col min="1" max="1" width="38.6640625" style="29" customWidth="1"/>
    <col min="2" max="19" width="7.83203125" style="29" customWidth="1"/>
    <col min="20" max="16384" width="9.1640625" style="29"/>
  </cols>
  <sheetData>
    <row r="1" spans="1:19">
      <c r="A1" s="38" t="s">
        <v>133</v>
      </c>
    </row>
    <row r="3" spans="1:19">
      <c r="A3" s="34" t="s">
        <v>123</v>
      </c>
      <c r="B3" s="150" t="s">
        <v>124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</row>
    <row r="4" spans="1:19">
      <c r="A4" s="33" t="s">
        <v>132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  <c r="H4" s="34">
        <v>7</v>
      </c>
      <c r="I4" s="34">
        <v>8</v>
      </c>
      <c r="J4" s="34">
        <v>9</v>
      </c>
      <c r="K4" s="34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</row>
    <row r="5" spans="1:19">
      <c r="A5" s="30" t="s">
        <v>130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0.2</v>
      </c>
      <c r="I5" s="35">
        <v>0.4</v>
      </c>
      <c r="J5" s="35">
        <v>0.7</v>
      </c>
      <c r="K5" s="35">
        <v>1.2</v>
      </c>
      <c r="L5" s="35">
        <v>2.1</v>
      </c>
      <c r="M5" s="35">
        <v>2.8</v>
      </c>
      <c r="N5" s="35">
        <v>0.5</v>
      </c>
      <c r="O5" s="35">
        <v>3.8</v>
      </c>
      <c r="P5" s="35">
        <v>4.5</v>
      </c>
      <c r="Q5" s="35">
        <v>0.2</v>
      </c>
      <c r="R5" s="35">
        <v>5.8</v>
      </c>
      <c r="S5" s="35">
        <v>6</v>
      </c>
    </row>
    <row r="6" spans="1:19">
      <c r="A6" s="30" t="s">
        <v>145</v>
      </c>
      <c r="B6" s="76">
        <f>B5*параметры!$D$6</f>
        <v>0</v>
      </c>
      <c r="C6" s="76">
        <f>C5*параметры!$D$6</f>
        <v>0</v>
      </c>
      <c r="D6" s="76">
        <f>D5*параметры!$D$6</f>
        <v>0</v>
      </c>
      <c r="E6" s="76">
        <f>E5*параметры!$D$6</f>
        <v>0</v>
      </c>
      <c r="F6" s="76">
        <f>F5*параметры!$D$6</f>
        <v>0</v>
      </c>
      <c r="G6" s="76">
        <f>G5*параметры!$D$6</f>
        <v>0</v>
      </c>
      <c r="H6" s="76">
        <f>H5*параметры!$D$6</f>
        <v>47.6</v>
      </c>
      <c r="I6" s="76">
        <f>I5*параметры!$D$6</f>
        <v>95.2</v>
      </c>
      <c r="J6" s="76">
        <f>J5*параметры!$D$6</f>
        <v>166.6</v>
      </c>
      <c r="K6" s="76">
        <f>K5*параметры!$D$6</f>
        <v>285.59999999999997</v>
      </c>
      <c r="L6" s="76">
        <f>L5*параметры!$D$6</f>
        <v>499.8</v>
      </c>
      <c r="M6" s="76">
        <f>M5*параметры!$D$6</f>
        <v>666.4</v>
      </c>
      <c r="N6" s="76">
        <f>N5*параметры!$D$6</f>
        <v>119</v>
      </c>
      <c r="O6" s="76">
        <f>O5*параметры!$D$6</f>
        <v>904.4</v>
      </c>
      <c r="P6" s="76">
        <f>P5*параметры!$D$6</f>
        <v>1071</v>
      </c>
      <c r="Q6" s="76">
        <f>Q5*параметры!$D$6</f>
        <v>47.6</v>
      </c>
      <c r="R6" s="76">
        <f>R5*параметры!$D$6</f>
        <v>1380.3999999999999</v>
      </c>
      <c r="S6" s="76">
        <f>S5*параметры!$D$6</f>
        <v>1428</v>
      </c>
    </row>
    <row r="7" spans="1:19">
      <c r="A7" s="30" t="s">
        <v>146</v>
      </c>
      <c r="B7" s="76">
        <f>B5*параметры!$E$6</f>
        <v>0</v>
      </c>
      <c r="C7" s="76">
        <f>C5*параметры!$E$6</f>
        <v>0</v>
      </c>
      <c r="D7" s="76">
        <f>D5*параметры!$E$6</f>
        <v>0</v>
      </c>
      <c r="E7" s="76">
        <f>E5*параметры!$E$6</f>
        <v>0</v>
      </c>
      <c r="F7" s="76">
        <f>F5*параметры!$E$6</f>
        <v>0</v>
      </c>
      <c r="G7" s="76">
        <f>G5*параметры!$E$6</f>
        <v>0</v>
      </c>
      <c r="H7" s="76">
        <f>H5*параметры!$E$6</f>
        <v>17</v>
      </c>
      <c r="I7" s="76">
        <f>I5*параметры!$E$6</f>
        <v>34</v>
      </c>
      <c r="J7" s="76">
        <f>J5*параметры!$E$6</f>
        <v>59.499999999999993</v>
      </c>
      <c r="K7" s="76">
        <f>K5*параметры!$E$6</f>
        <v>102</v>
      </c>
      <c r="L7" s="76">
        <f>L5*параметры!$E$6</f>
        <v>178.5</v>
      </c>
      <c r="M7" s="76">
        <f>M5*параметры!$E$6</f>
        <v>237.99999999999997</v>
      </c>
      <c r="N7" s="76">
        <f>N5*параметры!$E$6</f>
        <v>42.5</v>
      </c>
      <c r="O7" s="76">
        <f>O5*параметры!$E$6</f>
        <v>323</v>
      </c>
      <c r="P7" s="76">
        <f>P5*параметры!$E$6</f>
        <v>382.5</v>
      </c>
      <c r="Q7" s="76">
        <f>Q5*параметры!$E$6</f>
        <v>17</v>
      </c>
      <c r="R7" s="76">
        <f>R5*параметры!$E$6</f>
        <v>493</v>
      </c>
      <c r="S7" s="76">
        <f>S5*параметры!$E$6</f>
        <v>510</v>
      </c>
    </row>
    <row r="8" spans="1:19">
      <c r="A8" s="30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>
      <c r="A9" s="30" t="s">
        <v>131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>
      <c r="A10" s="31" t="s">
        <v>119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>
      <c r="A11" s="32" t="s">
        <v>125</v>
      </c>
      <c r="B11" s="37">
        <v>0.75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>
      <c r="A12" s="30" t="s">
        <v>126</v>
      </c>
      <c r="B12" s="35">
        <v>400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>
      <c r="A13" s="30" t="s">
        <v>134</v>
      </c>
      <c r="B13" s="77">
        <f>$B$12*$B$11</f>
        <v>300</v>
      </c>
      <c r="C13" s="77">
        <f>$B$12*$B$11</f>
        <v>300</v>
      </c>
      <c r="D13" s="77">
        <f t="shared" ref="D13:K13" si="0">$B$12*$B$11</f>
        <v>300</v>
      </c>
      <c r="E13" s="77">
        <f t="shared" si="0"/>
        <v>300</v>
      </c>
      <c r="F13" s="77">
        <f t="shared" si="0"/>
        <v>300</v>
      </c>
      <c r="G13" s="77">
        <f t="shared" si="0"/>
        <v>300</v>
      </c>
      <c r="H13" s="77">
        <f t="shared" si="0"/>
        <v>300</v>
      </c>
      <c r="I13" s="77">
        <f t="shared" si="0"/>
        <v>300</v>
      </c>
      <c r="J13" s="77">
        <f t="shared" si="0"/>
        <v>300</v>
      </c>
      <c r="K13" s="77">
        <f t="shared" si="0"/>
        <v>300</v>
      </c>
      <c r="L13" s="35"/>
      <c r="M13" s="35"/>
      <c r="N13" s="35"/>
      <c r="O13" s="35"/>
      <c r="P13" s="35"/>
      <c r="Q13" s="35"/>
      <c r="R13" s="35"/>
      <c r="S13" s="35"/>
    </row>
    <row r="14" spans="1:19">
      <c r="A14" s="3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>
      <c r="A15" s="31" t="s">
        <v>120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>
      <c r="A16" s="32" t="s">
        <v>125</v>
      </c>
      <c r="B16" s="37">
        <v>0.75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>
      <c r="A17" s="30" t="s">
        <v>126</v>
      </c>
      <c r="B17" s="35">
        <v>300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>
      <c r="A18" s="30" t="s">
        <v>134</v>
      </c>
      <c r="B18" s="77">
        <f>$B$17*$B$16</f>
        <v>225</v>
      </c>
      <c r="C18" s="77">
        <f t="shared" ref="C18:K18" si="1">$B$17*$B$16</f>
        <v>225</v>
      </c>
      <c r="D18" s="77">
        <f t="shared" si="1"/>
        <v>225</v>
      </c>
      <c r="E18" s="77">
        <f t="shared" si="1"/>
        <v>225</v>
      </c>
      <c r="F18" s="77">
        <f t="shared" si="1"/>
        <v>225</v>
      </c>
      <c r="G18" s="77">
        <f t="shared" si="1"/>
        <v>225</v>
      </c>
      <c r="H18" s="77">
        <f t="shared" si="1"/>
        <v>225</v>
      </c>
      <c r="I18" s="77">
        <f t="shared" si="1"/>
        <v>225</v>
      </c>
      <c r="J18" s="77">
        <f t="shared" si="1"/>
        <v>225</v>
      </c>
      <c r="K18" s="77">
        <f t="shared" si="1"/>
        <v>225</v>
      </c>
      <c r="L18" s="35"/>
      <c r="M18" s="35"/>
      <c r="N18" s="35"/>
      <c r="O18" s="35"/>
      <c r="P18" s="35"/>
      <c r="Q18" s="35"/>
      <c r="R18" s="35"/>
      <c r="S18" s="35"/>
    </row>
    <row r="19" spans="1:19">
      <c r="A19" s="3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31" t="s">
        <v>121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>
      <c r="A21" s="32" t="s">
        <v>125</v>
      </c>
      <c r="B21" s="37">
        <v>0.75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>
      <c r="A22" s="30" t="s">
        <v>126</v>
      </c>
      <c r="B22" s="35">
        <v>3000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>
      <c r="A23" s="30" t="s">
        <v>134</v>
      </c>
      <c r="B23" s="77">
        <f>$B$22*$B$21</f>
        <v>2250</v>
      </c>
      <c r="C23" s="77">
        <f t="shared" ref="C23:K23" si="2">$B$22*$B$21</f>
        <v>2250</v>
      </c>
      <c r="D23" s="77">
        <f t="shared" si="2"/>
        <v>2250</v>
      </c>
      <c r="E23" s="77">
        <f t="shared" si="2"/>
        <v>2250</v>
      </c>
      <c r="F23" s="77">
        <f t="shared" si="2"/>
        <v>2250</v>
      </c>
      <c r="G23" s="77">
        <f t="shared" si="2"/>
        <v>2250</v>
      </c>
      <c r="H23" s="77">
        <f t="shared" si="2"/>
        <v>2250</v>
      </c>
      <c r="I23" s="77">
        <f t="shared" si="2"/>
        <v>2250</v>
      </c>
      <c r="J23" s="77">
        <f t="shared" si="2"/>
        <v>2250</v>
      </c>
      <c r="K23" s="77">
        <f t="shared" si="2"/>
        <v>2250</v>
      </c>
      <c r="L23" s="35"/>
      <c r="M23" s="35"/>
      <c r="N23" s="35"/>
      <c r="O23" s="35"/>
      <c r="P23" s="35"/>
      <c r="Q23" s="35"/>
      <c r="R23" s="35"/>
      <c r="S23" s="35"/>
    </row>
    <row r="24" spans="1:19">
      <c r="A24" s="30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>
      <c r="A25" s="31" t="s">
        <v>122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>
      <c r="A26" s="32" t="s">
        <v>125</v>
      </c>
      <c r="B26" s="37">
        <v>0.75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>
      <c r="A27" s="30" t="s">
        <v>126</v>
      </c>
      <c r="B27" s="35">
        <v>5000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>
      <c r="A28" s="30" t="s">
        <v>134</v>
      </c>
      <c r="B28" s="77">
        <f>$B$27*$B$26</f>
        <v>3750</v>
      </c>
      <c r="C28" s="77">
        <f t="shared" ref="C28:K28" si="3">$B$27*$B$26</f>
        <v>3750</v>
      </c>
      <c r="D28" s="77">
        <f t="shared" si="3"/>
        <v>3750</v>
      </c>
      <c r="E28" s="77">
        <f t="shared" si="3"/>
        <v>3750</v>
      </c>
      <c r="F28" s="77">
        <f t="shared" si="3"/>
        <v>3750</v>
      </c>
      <c r="G28" s="77">
        <f t="shared" si="3"/>
        <v>3750</v>
      </c>
      <c r="H28" s="77">
        <f t="shared" si="3"/>
        <v>3750</v>
      </c>
      <c r="I28" s="77">
        <f t="shared" si="3"/>
        <v>3750</v>
      </c>
      <c r="J28" s="77">
        <f t="shared" si="3"/>
        <v>3750</v>
      </c>
      <c r="K28" s="77">
        <f t="shared" si="3"/>
        <v>3750</v>
      </c>
      <c r="L28" s="35"/>
      <c r="M28" s="35"/>
      <c r="N28" s="35"/>
      <c r="O28" s="35"/>
      <c r="P28" s="35"/>
      <c r="Q28" s="35"/>
      <c r="R28" s="35"/>
      <c r="S28" s="35"/>
    </row>
    <row r="29" spans="1:19">
      <c r="A29" s="3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>
      <c r="A30" s="33" t="s">
        <v>177</v>
      </c>
      <c r="B30" s="35">
        <v>400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>
      <c r="A31" s="30" t="s">
        <v>163</v>
      </c>
      <c r="B31" s="35">
        <v>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19">
      <c r="A32" s="30" t="s">
        <v>127</v>
      </c>
      <c r="B32" s="77">
        <v>0</v>
      </c>
      <c r="C32" s="77">
        <v>0</v>
      </c>
      <c r="D32" s="77">
        <v>0</v>
      </c>
      <c r="E32" s="77">
        <f>$B$30*$B$31*0.4</f>
        <v>480</v>
      </c>
      <c r="F32" s="77">
        <f>$B$30*$B$31*0.7</f>
        <v>840</v>
      </c>
      <c r="G32" s="77">
        <f>$B$30*$B$31*0.9</f>
        <v>1080</v>
      </c>
      <c r="H32" s="77">
        <f t="shared" ref="H32:S32" si="4">$B$30*$B$31</f>
        <v>1200</v>
      </c>
      <c r="I32" s="77">
        <f t="shared" si="4"/>
        <v>1200</v>
      </c>
      <c r="J32" s="77">
        <f t="shared" si="4"/>
        <v>1200</v>
      </c>
      <c r="K32" s="77">
        <f t="shared" si="4"/>
        <v>1200</v>
      </c>
      <c r="L32" s="77">
        <f t="shared" si="4"/>
        <v>1200</v>
      </c>
      <c r="M32" s="77">
        <f t="shared" si="4"/>
        <v>1200</v>
      </c>
      <c r="N32" s="77">
        <f t="shared" si="4"/>
        <v>1200</v>
      </c>
      <c r="O32" s="77">
        <f t="shared" si="4"/>
        <v>1200</v>
      </c>
      <c r="P32" s="77">
        <f t="shared" si="4"/>
        <v>1200</v>
      </c>
      <c r="Q32" s="77">
        <f t="shared" si="4"/>
        <v>1200</v>
      </c>
      <c r="R32" s="77">
        <f t="shared" si="4"/>
        <v>1200</v>
      </c>
      <c r="S32" s="77">
        <f t="shared" si="4"/>
        <v>1200</v>
      </c>
    </row>
  </sheetData>
  <mergeCells count="1">
    <mergeCell ref="B3:S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1"/>
  <sheetViews>
    <sheetView topLeftCell="A2" zoomScale="125" zoomScaleNormal="125" zoomScalePageLayoutView="125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D43" sqref="D43"/>
    </sheetView>
  </sheetViews>
  <sheetFormatPr baseColWidth="10" defaultRowHeight="15" x14ac:dyDescent="0"/>
  <cols>
    <col min="1" max="1" width="6" style="92" customWidth="1"/>
    <col min="2" max="2" width="20.1640625" style="92" customWidth="1"/>
    <col min="3" max="3" width="11" style="92" bestFit="1" customWidth="1"/>
    <col min="4" max="4" width="11.1640625" style="92" bestFit="1" customWidth="1"/>
    <col min="5" max="5" width="11.33203125" style="92" customWidth="1"/>
    <col min="6" max="6" width="10.6640625" style="92" customWidth="1"/>
    <col min="7" max="7" width="11" style="92" customWidth="1"/>
    <col min="8" max="9" width="11.33203125" style="92" customWidth="1"/>
    <col min="10" max="10" width="11.1640625" style="92" customWidth="1"/>
    <col min="11" max="11" width="11.83203125" style="92" customWidth="1"/>
    <col min="12" max="12" width="11.5" style="92" bestFit="1" customWidth="1"/>
    <col min="13" max="14" width="11.6640625" style="92" bestFit="1" customWidth="1"/>
    <col min="15" max="20" width="12.6640625" style="92" customWidth="1"/>
    <col min="21" max="21" width="14" style="92" customWidth="1"/>
    <col min="22" max="16384" width="10.83203125" style="92"/>
  </cols>
  <sheetData>
    <row r="2" spans="2:20">
      <c r="B2" s="110" t="s">
        <v>137</v>
      </c>
      <c r="C2" s="111"/>
      <c r="D2" s="111"/>
      <c r="E2" s="111"/>
      <c r="F2" s="112">
        <f>параметры!D14</f>
        <v>0.2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>
      <c r="B3" s="110"/>
      <c r="C3" s="111"/>
      <c r="D3" s="111"/>
      <c r="E3" s="111"/>
      <c r="F3" s="112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0">
      <c r="B4" s="113" t="s">
        <v>164</v>
      </c>
      <c r="C4" s="90" t="s">
        <v>13</v>
      </c>
      <c r="D4" s="111"/>
      <c r="E4" s="111"/>
      <c r="F4" s="112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2:20">
      <c r="B5" s="114"/>
      <c r="C5" s="78">
        <v>1</v>
      </c>
      <c r="D5" s="78">
        <v>2</v>
      </c>
      <c r="E5" s="78">
        <v>3</v>
      </c>
      <c r="F5" s="78">
        <v>4</v>
      </c>
      <c r="G5" s="78">
        <v>5</v>
      </c>
      <c r="H5" s="78">
        <v>6</v>
      </c>
      <c r="I5" s="78">
        <v>7</v>
      </c>
      <c r="J5" s="78">
        <v>8</v>
      </c>
      <c r="K5" s="78">
        <v>9</v>
      </c>
      <c r="L5" s="78">
        <v>10</v>
      </c>
      <c r="M5" s="78">
        <v>11</v>
      </c>
      <c r="N5" s="78">
        <v>12</v>
      </c>
      <c r="O5" s="78">
        <v>13</v>
      </c>
      <c r="P5" s="78">
        <v>14</v>
      </c>
      <c r="Q5" s="78">
        <v>15</v>
      </c>
      <c r="R5" s="78">
        <v>16</v>
      </c>
      <c r="S5" s="78">
        <v>17</v>
      </c>
      <c r="T5" s="78">
        <v>18</v>
      </c>
    </row>
    <row r="6" spans="2:20">
      <c r="B6" s="105" t="s">
        <v>132</v>
      </c>
      <c r="C6" s="87">
        <f>параметры!D7</f>
        <v>40000</v>
      </c>
      <c r="D6" s="87">
        <f>$C$6*(1+D5*$F$2)</f>
        <v>56000</v>
      </c>
      <c r="E6" s="87">
        <f t="shared" ref="E6:T6" si="0">$C$6*(1+E5*$F$2)</f>
        <v>64000</v>
      </c>
      <c r="F6" s="87">
        <f t="shared" si="0"/>
        <v>72000</v>
      </c>
      <c r="G6" s="87">
        <f t="shared" si="0"/>
        <v>80000</v>
      </c>
      <c r="H6" s="87">
        <f t="shared" si="0"/>
        <v>88000</v>
      </c>
      <c r="I6" s="87">
        <f t="shared" si="0"/>
        <v>96000.000000000015</v>
      </c>
      <c r="J6" s="87">
        <f t="shared" si="0"/>
        <v>104000</v>
      </c>
      <c r="K6" s="87">
        <f t="shared" si="0"/>
        <v>112000</v>
      </c>
      <c r="L6" s="87">
        <f t="shared" si="0"/>
        <v>120000</v>
      </c>
      <c r="M6" s="87">
        <f t="shared" si="0"/>
        <v>128000</v>
      </c>
      <c r="N6" s="87">
        <f t="shared" si="0"/>
        <v>136000</v>
      </c>
      <c r="O6" s="87">
        <f t="shared" si="0"/>
        <v>144000</v>
      </c>
      <c r="P6" s="87">
        <f t="shared" si="0"/>
        <v>152000</v>
      </c>
      <c r="Q6" s="87">
        <f t="shared" si="0"/>
        <v>160000</v>
      </c>
      <c r="R6" s="87">
        <f t="shared" si="0"/>
        <v>168000</v>
      </c>
      <c r="S6" s="87">
        <f t="shared" si="0"/>
        <v>176000</v>
      </c>
      <c r="T6" s="87">
        <f t="shared" si="0"/>
        <v>184000</v>
      </c>
    </row>
    <row r="7" spans="2:20">
      <c r="B7" s="107" t="s">
        <v>119</v>
      </c>
      <c r="C7" s="88">
        <f>параметры!D8</f>
        <v>1500</v>
      </c>
      <c r="D7" s="88">
        <f>$C$7*(1+D5*$F$2)</f>
        <v>2100</v>
      </c>
      <c r="E7" s="88">
        <f t="shared" ref="E7:L7" si="1">$C$7*(1+E5*$F$2)</f>
        <v>2400</v>
      </c>
      <c r="F7" s="88">
        <f t="shared" si="1"/>
        <v>2700</v>
      </c>
      <c r="G7" s="88">
        <f t="shared" si="1"/>
        <v>3000</v>
      </c>
      <c r="H7" s="88">
        <f t="shared" si="1"/>
        <v>3300.0000000000005</v>
      </c>
      <c r="I7" s="88">
        <f t="shared" si="1"/>
        <v>3600.0000000000005</v>
      </c>
      <c r="J7" s="88">
        <f t="shared" si="1"/>
        <v>3900</v>
      </c>
      <c r="K7" s="88">
        <f t="shared" si="1"/>
        <v>4200</v>
      </c>
      <c r="L7" s="88">
        <f t="shared" si="1"/>
        <v>4500</v>
      </c>
      <c r="M7" s="88"/>
      <c r="N7" s="88"/>
      <c r="O7" s="88"/>
      <c r="P7" s="88"/>
      <c r="Q7" s="88"/>
      <c r="R7" s="88"/>
      <c r="S7" s="88"/>
      <c r="T7" s="88"/>
    </row>
    <row r="8" spans="2:20">
      <c r="B8" s="107" t="s">
        <v>120</v>
      </c>
      <c r="C8" s="88">
        <f>параметры!D9</f>
        <v>4000</v>
      </c>
      <c r="D8" s="88">
        <f>$C$8*(1+D5*$F$2)</f>
        <v>5600</v>
      </c>
      <c r="E8" s="88">
        <f t="shared" ref="E8:L8" si="2">$C$8*(1+E5*$F$2)</f>
        <v>6400</v>
      </c>
      <c r="F8" s="88">
        <f t="shared" si="2"/>
        <v>7200</v>
      </c>
      <c r="G8" s="88">
        <f t="shared" si="2"/>
        <v>8000</v>
      </c>
      <c r="H8" s="88">
        <f t="shared" si="2"/>
        <v>8800</v>
      </c>
      <c r="I8" s="88">
        <f t="shared" si="2"/>
        <v>9600.0000000000018</v>
      </c>
      <c r="J8" s="88">
        <f t="shared" si="2"/>
        <v>10400</v>
      </c>
      <c r="K8" s="88">
        <f t="shared" si="2"/>
        <v>11200</v>
      </c>
      <c r="L8" s="88">
        <f t="shared" si="2"/>
        <v>12000</v>
      </c>
      <c r="M8" s="88"/>
      <c r="N8" s="88"/>
      <c r="O8" s="88"/>
      <c r="P8" s="88"/>
      <c r="Q8" s="88"/>
      <c r="R8" s="88"/>
      <c r="S8" s="88"/>
      <c r="T8" s="88"/>
    </row>
    <row r="9" spans="2:20">
      <c r="B9" s="107" t="s">
        <v>121</v>
      </c>
      <c r="C9" s="88">
        <f>параметры!D10</f>
        <v>500</v>
      </c>
      <c r="D9" s="88">
        <f>$C$9*(1+D5*$F$2)</f>
        <v>700</v>
      </c>
      <c r="E9" s="88">
        <f t="shared" ref="E9:L9" si="3">$C$9*(1+E5*$F$2)</f>
        <v>800</v>
      </c>
      <c r="F9" s="88">
        <f t="shared" si="3"/>
        <v>900</v>
      </c>
      <c r="G9" s="88">
        <f t="shared" si="3"/>
        <v>1000</v>
      </c>
      <c r="H9" s="88">
        <f t="shared" si="3"/>
        <v>1100</v>
      </c>
      <c r="I9" s="88">
        <f t="shared" si="3"/>
        <v>1200.0000000000002</v>
      </c>
      <c r="J9" s="88">
        <f t="shared" si="3"/>
        <v>1300</v>
      </c>
      <c r="K9" s="88">
        <f t="shared" si="3"/>
        <v>1400</v>
      </c>
      <c r="L9" s="88">
        <f t="shared" si="3"/>
        <v>1500</v>
      </c>
      <c r="M9" s="88"/>
      <c r="N9" s="88"/>
      <c r="O9" s="88"/>
      <c r="P9" s="88"/>
      <c r="Q9" s="88"/>
      <c r="R9" s="88"/>
      <c r="S9" s="88"/>
      <c r="T9" s="88"/>
    </row>
    <row r="10" spans="2:20">
      <c r="B10" s="107" t="s">
        <v>122</v>
      </c>
      <c r="C10" s="88">
        <f>параметры!D11</f>
        <v>250</v>
      </c>
      <c r="D10" s="88">
        <f>$C$10*(1+D5*$F$2)</f>
        <v>350</v>
      </c>
      <c r="E10" s="88">
        <f t="shared" ref="E10:L10" si="4">$C$10*(1+E5*$F$2)</f>
        <v>400</v>
      </c>
      <c r="F10" s="88">
        <f t="shared" si="4"/>
        <v>450</v>
      </c>
      <c r="G10" s="88">
        <f t="shared" si="4"/>
        <v>500</v>
      </c>
      <c r="H10" s="88">
        <f t="shared" si="4"/>
        <v>550</v>
      </c>
      <c r="I10" s="88">
        <f t="shared" si="4"/>
        <v>600.00000000000011</v>
      </c>
      <c r="J10" s="88">
        <f t="shared" si="4"/>
        <v>650</v>
      </c>
      <c r="K10" s="88">
        <f t="shared" si="4"/>
        <v>700</v>
      </c>
      <c r="L10" s="88">
        <f t="shared" si="4"/>
        <v>750</v>
      </c>
      <c r="M10" s="88"/>
      <c r="N10" s="88"/>
      <c r="O10" s="88"/>
      <c r="P10" s="88"/>
      <c r="Q10" s="88"/>
      <c r="R10" s="88"/>
      <c r="S10" s="88"/>
      <c r="T10" s="88"/>
    </row>
    <row r="11" spans="2:20">
      <c r="B11" s="109" t="s">
        <v>151</v>
      </c>
      <c r="C11" s="89">
        <f>параметры!D12</f>
        <v>2000</v>
      </c>
      <c r="D11" s="89">
        <f>$C$11*(1+D5*$F$2)</f>
        <v>2800</v>
      </c>
      <c r="E11" s="89">
        <f t="shared" ref="E11:T11" si="5">$C$11*(1+E5*$F$2)</f>
        <v>3200</v>
      </c>
      <c r="F11" s="89">
        <f t="shared" si="5"/>
        <v>3600</v>
      </c>
      <c r="G11" s="89">
        <f t="shared" si="5"/>
        <v>4000</v>
      </c>
      <c r="H11" s="89">
        <f t="shared" si="5"/>
        <v>4400</v>
      </c>
      <c r="I11" s="89">
        <f t="shared" si="5"/>
        <v>4800.0000000000009</v>
      </c>
      <c r="J11" s="89">
        <f t="shared" si="5"/>
        <v>5200</v>
      </c>
      <c r="K11" s="89">
        <f t="shared" si="5"/>
        <v>5600</v>
      </c>
      <c r="L11" s="89">
        <f t="shared" si="5"/>
        <v>6000</v>
      </c>
      <c r="M11" s="89">
        <f t="shared" si="5"/>
        <v>6400</v>
      </c>
      <c r="N11" s="89">
        <f t="shared" si="5"/>
        <v>6800.0000000000009</v>
      </c>
      <c r="O11" s="89">
        <f t="shared" si="5"/>
        <v>7200</v>
      </c>
      <c r="P11" s="89">
        <f t="shared" si="5"/>
        <v>7600.0000000000009</v>
      </c>
      <c r="Q11" s="89">
        <f t="shared" si="5"/>
        <v>8000</v>
      </c>
      <c r="R11" s="89">
        <f t="shared" si="5"/>
        <v>8400</v>
      </c>
      <c r="S11" s="89">
        <f t="shared" si="5"/>
        <v>8800</v>
      </c>
      <c r="T11" s="89">
        <f t="shared" si="5"/>
        <v>9200</v>
      </c>
    </row>
    <row r="12" spans="2:20">
      <c r="B12" s="111"/>
      <c r="C12" s="111"/>
      <c r="D12" s="111"/>
      <c r="E12" s="111"/>
      <c r="F12" s="115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</row>
    <row r="13" spans="2:20">
      <c r="B13" s="113" t="s">
        <v>165</v>
      </c>
      <c r="C13" s="100" t="s">
        <v>13</v>
      </c>
    </row>
    <row r="14" spans="2:20">
      <c r="B14" s="116"/>
      <c r="C14" s="78">
        <v>1</v>
      </c>
      <c r="D14" s="78">
        <v>2</v>
      </c>
      <c r="E14" s="78">
        <v>3</v>
      </c>
      <c r="F14" s="78">
        <v>4</v>
      </c>
      <c r="G14" s="78">
        <v>5</v>
      </c>
      <c r="H14" s="78">
        <v>6</v>
      </c>
      <c r="I14" s="78">
        <v>7</v>
      </c>
      <c r="J14" s="78">
        <v>8</v>
      </c>
      <c r="K14" s="78">
        <v>9</v>
      </c>
      <c r="L14" s="78">
        <v>10</v>
      </c>
      <c r="M14" s="78">
        <v>11</v>
      </c>
      <c r="N14" s="78">
        <v>12</v>
      </c>
      <c r="O14" s="78">
        <v>13</v>
      </c>
      <c r="P14" s="78">
        <v>14</v>
      </c>
      <c r="Q14" s="78">
        <v>15</v>
      </c>
      <c r="R14" s="78">
        <v>16</v>
      </c>
      <c r="S14" s="78">
        <v>17</v>
      </c>
      <c r="T14" s="78">
        <v>18</v>
      </c>
    </row>
    <row r="15" spans="2:20">
      <c r="B15" s="105" t="s">
        <v>166</v>
      </c>
      <c r="C15" s="87">
        <f>C6*урожайность!B6</f>
        <v>0</v>
      </c>
      <c r="D15" s="87">
        <f>D6*урожайность!C6</f>
        <v>0</v>
      </c>
      <c r="E15" s="87">
        <f>E6*урожайность!D6</f>
        <v>0</v>
      </c>
      <c r="F15" s="87">
        <f>F6*урожайность!E6</f>
        <v>0</v>
      </c>
      <c r="G15" s="87">
        <f>G6*урожайность!F6</f>
        <v>0</v>
      </c>
      <c r="H15" s="87">
        <f>H6*урожайность!G6</f>
        <v>0</v>
      </c>
      <c r="I15" s="87">
        <f>I6*урожайность!H6</f>
        <v>4569600.0000000009</v>
      </c>
      <c r="J15" s="87">
        <f>J6*урожайность!I6</f>
        <v>9900800</v>
      </c>
      <c r="K15" s="87">
        <f>K6*урожайность!J6</f>
        <v>18659200</v>
      </c>
      <c r="L15" s="87">
        <f>L6*урожайность!K6</f>
        <v>34271999.999999993</v>
      </c>
      <c r="M15" s="87">
        <f>M6*урожайность!L6</f>
        <v>63974400</v>
      </c>
      <c r="N15" s="87">
        <f>N6*урожайность!M6</f>
        <v>90630400</v>
      </c>
      <c r="O15" s="87">
        <f>O6*урожайность!N6</f>
        <v>17136000</v>
      </c>
      <c r="P15" s="87">
        <f>P6*урожайность!O6</f>
        <v>137468800</v>
      </c>
      <c r="Q15" s="87">
        <f>Q6*урожайность!P6</f>
        <v>171360000</v>
      </c>
      <c r="R15" s="87">
        <f>R6*урожайность!Q6</f>
        <v>7996800</v>
      </c>
      <c r="S15" s="87">
        <f>S6*урожайность!R6</f>
        <v>242950399.99999997</v>
      </c>
      <c r="T15" s="87">
        <f>T6*урожайность!S6</f>
        <v>262752000</v>
      </c>
    </row>
    <row r="16" spans="2:20">
      <c r="B16" s="105" t="s">
        <v>167</v>
      </c>
      <c r="C16" s="91">
        <f>C6*урожайность!B7</f>
        <v>0</v>
      </c>
      <c r="D16" s="91">
        <f>D6*урожайность!C7</f>
        <v>0</v>
      </c>
      <c r="E16" s="91">
        <f>E6*урожайность!D7</f>
        <v>0</v>
      </c>
      <c r="F16" s="91">
        <f>F6*урожайность!E7</f>
        <v>0</v>
      </c>
      <c r="G16" s="91">
        <f>G6*урожайность!F7</f>
        <v>0</v>
      </c>
      <c r="H16" s="91">
        <f>H6*урожайность!G7</f>
        <v>0</v>
      </c>
      <c r="I16" s="91">
        <f>I6*урожайность!H7</f>
        <v>1632000.0000000002</v>
      </c>
      <c r="J16" s="91">
        <f>J6*урожайность!I7</f>
        <v>3536000</v>
      </c>
      <c r="K16" s="91">
        <f>K6*урожайность!J7</f>
        <v>6663999.9999999991</v>
      </c>
      <c r="L16" s="91">
        <f>L6*урожайность!K7</f>
        <v>12240000</v>
      </c>
      <c r="M16" s="91">
        <f>M6*урожайность!L7</f>
        <v>22848000</v>
      </c>
      <c r="N16" s="91">
        <f>N6*урожайность!M7</f>
        <v>32367999.999999996</v>
      </c>
      <c r="O16" s="91">
        <f>O6*урожайность!N7</f>
        <v>6120000</v>
      </c>
      <c r="P16" s="91">
        <f>P6*урожайность!O7</f>
        <v>49096000</v>
      </c>
      <c r="Q16" s="91">
        <f>Q6*урожайность!P7</f>
        <v>61200000</v>
      </c>
      <c r="R16" s="91">
        <f>R6*урожайность!Q7</f>
        <v>2856000</v>
      </c>
      <c r="S16" s="91">
        <f>S6*урожайность!R7</f>
        <v>86768000</v>
      </c>
      <c r="T16" s="91">
        <f>T6*урожайность!S7</f>
        <v>93840000</v>
      </c>
    </row>
    <row r="17" spans="1:21">
      <c r="B17" s="107" t="s">
        <v>119</v>
      </c>
      <c r="C17" s="88">
        <f>C7*урожайность!B13</f>
        <v>450000</v>
      </c>
      <c r="D17" s="88">
        <f>D7*урожайность!C13</f>
        <v>630000</v>
      </c>
      <c r="E17" s="88">
        <f>E7*урожайность!D13</f>
        <v>720000</v>
      </c>
      <c r="F17" s="88">
        <f>F7*урожайность!E13</f>
        <v>810000</v>
      </c>
      <c r="G17" s="88">
        <f>G7*урожайность!F13</f>
        <v>900000</v>
      </c>
      <c r="H17" s="88">
        <f>H7*урожайность!G13</f>
        <v>990000.00000000012</v>
      </c>
      <c r="I17" s="88">
        <f>I7*урожайность!H13</f>
        <v>1080000.0000000002</v>
      </c>
      <c r="J17" s="88">
        <f>J7*урожайность!I13</f>
        <v>1170000</v>
      </c>
      <c r="K17" s="88">
        <f>K7*урожайность!J13</f>
        <v>1260000</v>
      </c>
      <c r="L17" s="88">
        <f>L7*урожайность!K13</f>
        <v>1350000</v>
      </c>
      <c r="M17" s="88"/>
      <c r="N17" s="88"/>
      <c r="O17" s="88"/>
      <c r="P17" s="88"/>
      <c r="Q17" s="88"/>
      <c r="R17" s="88"/>
      <c r="S17" s="88"/>
      <c r="T17" s="88"/>
    </row>
    <row r="18" spans="1:21">
      <c r="B18" s="107" t="s">
        <v>120</v>
      </c>
      <c r="C18" s="88">
        <f>C8*урожайность!B18</f>
        <v>900000</v>
      </c>
      <c r="D18" s="88">
        <f>D8*урожайность!C18</f>
        <v>1260000</v>
      </c>
      <c r="E18" s="88">
        <f>E8*урожайность!D18</f>
        <v>1440000</v>
      </c>
      <c r="F18" s="88">
        <f>F8*урожайность!E18</f>
        <v>1620000</v>
      </c>
      <c r="G18" s="88">
        <f>G8*урожайность!F18</f>
        <v>1800000</v>
      </c>
      <c r="H18" s="88">
        <f>H8*урожайность!G18</f>
        <v>1980000</v>
      </c>
      <c r="I18" s="88">
        <f>I8*урожайность!H18</f>
        <v>2160000.0000000005</v>
      </c>
      <c r="J18" s="88">
        <f>J8*урожайность!I18</f>
        <v>2340000</v>
      </c>
      <c r="K18" s="88">
        <f>K8*урожайность!J18</f>
        <v>2520000</v>
      </c>
      <c r="L18" s="88">
        <f>L8*урожайность!K18</f>
        <v>2700000</v>
      </c>
      <c r="M18" s="88"/>
      <c r="N18" s="88"/>
      <c r="O18" s="88"/>
      <c r="P18" s="88"/>
      <c r="Q18" s="88"/>
      <c r="R18" s="88"/>
      <c r="S18" s="88"/>
      <c r="T18" s="88"/>
    </row>
    <row r="19" spans="1:21">
      <c r="B19" s="107" t="s">
        <v>121</v>
      </c>
      <c r="C19" s="88">
        <f>C9*урожайность!B23</f>
        <v>1125000</v>
      </c>
      <c r="D19" s="88">
        <f>D9*урожайность!C23</f>
        <v>1575000</v>
      </c>
      <c r="E19" s="88">
        <f>E9*урожайность!D23</f>
        <v>1800000</v>
      </c>
      <c r="F19" s="88">
        <f>F9*урожайность!E23</f>
        <v>2025000</v>
      </c>
      <c r="G19" s="88">
        <f>G9*урожайность!F23</f>
        <v>2250000</v>
      </c>
      <c r="H19" s="88">
        <f>H9*урожайность!G23</f>
        <v>2475000</v>
      </c>
      <c r="I19" s="88">
        <f>I9*урожайность!H23</f>
        <v>2700000.0000000005</v>
      </c>
      <c r="J19" s="88">
        <f>J9*урожайность!I23</f>
        <v>2925000</v>
      </c>
      <c r="K19" s="88">
        <f>K9*урожайность!J23</f>
        <v>3150000</v>
      </c>
      <c r="L19" s="88">
        <f>L9*урожайность!K23</f>
        <v>3375000</v>
      </c>
      <c r="M19" s="88"/>
      <c r="N19" s="88"/>
      <c r="O19" s="88"/>
      <c r="P19" s="88"/>
      <c r="Q19" s="88"/>
      <c r="R19" s="88"/>
      <c r="S19" s="88"/>
      <c r="T19" s="88"/>
    </row>
    <row r="20" spans="1:21">
      <c r="B20" s="107" t="s">
        <v>122</v>
      </c>
      <c r="C20" s="88">
        <f>C10*урожайность!B28</f>
        <v>937500</v>
      </c>
      <c r="D20" s="88">
        <f>D10*урожайность!C28</f>
        <v>1312500</v>
      </c>
      <c r="E20" s="88">
        <f>E10*урожайность!D28</f>
        <v>1500000</v>
      </c>
      <c r="F20" s="88">
        <f>F10*урожайность!E28</f>
        <v>1687500</v>
      </c>
      <c r="G20" s="88">
        <f>G10*урожайность!F28</f>
        <v>1875000</v>
      </c>
      <c r="H20" s="88">
        <f>H10*урожайность!G28</f>
        <v>2062500</v>
      </c>
      <c r="I20" s="88">
        <f>I10*урожайность!H28</f>
        <v>2250000.0000000005</v>
      </c>
      <c r="J20" s="88">
        <f>J10*урожайность!I28</f>
        <v>2437500</v>
      </c>
      <c r="K20" s="88">
        <f>K10*урожайность!J28</f>
        <v>2625000</v>
      </c>
      <c r="L20" s="88">
        <f>L10*урожайность!K28</f>
        <v>2812500</v>
      </c>
      <c r="M20" s="88"/>
      <c r="N20" s="88"/>
      <c r="O20" s="88"/>
      <c r="P20" s="88"/>
      <c r="Q20" s="88"/>
      <c r="R20" s="88"/>
      <c r="S20" s="88"/>
      <c r="T20" s="88"/>
    </row>
    <row r="21" spans="1:21">
      <c r="B21" s="109" t="s">
        <v>151</v>
      </c>
      <c r="C21" s="89">
        <f>C11*урожайность!B32</f>
        <v>0</v>
      </c>
      <c r="D21" s="89">
        <f>D11*урожайность!C32</f>
        <v>0</v>
      </c>
      <c r="E21" s="89">
        <f>E11*урожайность!D32</f>
        <v>0</v>
      </c>
      <c r="F21" s="89">
        <f>F11*урожайность!E32</f>
        <v>1728000</v>
      </c>
      <c r="G21" s="89">
        <f>G11*урожайность!F32</f>
        <v>3360000</v>
      </c>
      <c r="H21" s="89">
        <f>H11*урожайность!G32</f>
        <v>4752000</v>
      </c>
      <c r="I21" s="89">
        <f>I11*урожайность!H32</f>
        <v>5760000.0000000009</v>
      </c>
      <c r="J21" s="89">
        <f>J11*урожайность!I32</f>
        <v>6240000</v>
      </c>
      <c r="K21" s="89">
        <f>K11*урожайность!J32</f>
        <v>6720000</v>
      </c>
      <c r="L21" s="89">
        <f>L11*урожайность!K32</f>
        <v>7200000</v>
      </c>
      <c r="M21" s="89">
        <f>M11*урожайность!L32</f>
        <v>7680000</v>
      </c>
      <c r="N21" s="89">
        <f>N11*урожайность!M32</f>
        <v>8160000.0000000009</v>
      </c>
      <c r="O21" s="89">
        <f>O11*урожайность!N32</f>
        <v>8640000</v>
      </c>
      <c r="P21" s="89">
        <f>P11*урожайность!O32</f>
        <v>9120000.0000000019</v>
      </c>
      <c r="Q21" s="89">
        <f>Q11*урожайность!P32</f>
        <v>9600000</v>
      </c>
      <c r="R21" s="89">
        <f>R11*урожайность!Q32</f>
        <v>10080000</v>
      </c>
      <c r="S21" s="89">
        <f>S11*урожайность!R32</f>
        <v>10560000</v>
      </c>
      <c r="T21" s="89">
        <f>T11*урожайность!S32</f>
        <v>11040000</v>
      </c>
    </row>
    <row r="23" spans="1:21">
      <c r="B23" s="113" t="s">
        <v>173</v>
      </c>
      <c r="C23" s="100" t="s">
        <v>13</v>
      </c>
    </row>
    <row r="24" spans="1:21">
      <c r="B24" s="116"/>
      <c r="C24" s="78">
        <v>1</v>
      </c>
      <c r="D24" s="78">
        <v>2</v>
      </c>
      <c r="E24" s="78">
        <v>3</v>
      </c>
      <c r="F24" s="78">
        <v>4</v>
      </c>
      <c r="G24" s="78">
        <v>5</v>
      </c>
      <c r="H24" s="78">
        <v>6</v>
      </c>
      <c r="I24" s="78">
        <v>7</v>
      </c>
      <c r="J24" s="78">
        <v>8</v>
      </c>
      <c r="K24" s="78">
        <v>9</v>
      </c>
      <c r="L24" s="78">
        <v>10</v>
      </c>
      <c r="M24" s="78">
        <v>11</v>
      </c>
      <c r="N24" s="78">
        <v>12</v>
      </c>
      <c r="O24" s="78">
        <v>13</v>
      </c>
      <c r="P24" s="78">
        <v>14</v>
      </c>
      <c r="Q24" s="78">
        <v>15</v>
      </c>
      <c r="R24" s="78">
        <v>16</v>
      </c>
      <c r="S24" s="78">
        <v>17</v>
      </c>
      <c r="T24" s="78">
        <v>18</v>
      </c>
      <c r="U24" s="7" t="s">
        <v>180</v>
      </c>
    </row>
    <row r="25" spans="1:21">
      <c r="B25" s="105" t="s">
        <v>166</v>
      </c>
      <c r="C25" s="87">
        <f>'свод 6х6'!C35</f>
        <v>4562727.9649122804</v>
      </c>
      <c r="D25" s="87">
        <f>'свод 6х6'!D35*(1+финплан!D24*финплан!$F$2)</f>
        <v>2099731.1999999997</v>
      </c>
      <c r="E25" s="87">
        <f>'свод 6х6'!E35*(1+финплан!E24*финплан!$F$2)</f>
        <v>1557604.8</v>
      </c>
      <c r="F25" s="87">
        <f>'свод 6х6'!F35*(1+финплан!F24*финплан!$F$2)</f>
        <v>1045368</v>
      </c>
      <c r="G25" s="87">
        <f>'свод 6х6'!G35*(1+финплан!G24*финплан!$F$2)</f>
        <v>1161522</v>
      </c>
      <c r="H25" s="87">
        <f>'свод 6х6'!H35*(1+финплан!H24*финплан!$F$2)</f>
        <v>1277676.4000000001</v>
      </c>
      <c r="I25" s="87">
        <f>'свод 6х6'!I35*(1+финплан!I24*финплан!$F$2)</f>
        <v>1393831.2000000002</v>
      </c>
      <c r="J25" s="87">
        <f>'свод 6х6'!J35*(1+финплан!J24*финплан!$F$2)</f>
        <v>1509986.4000000001</v>
      </c>
      <c r="K25" s="87">
        <f>'свод 6х6'!K35*(1+финплан!K24*финплан!$F$2)</f>
        <v>1626142</v>
      </c>
      <c r="L25" s="87">
        <f>'свод 6х6'!L35*(1+финплан!L24*финплан!$F$2)</f>
        <v>2102298</v>
      </c>
      <c r="M25" s="87">
        <f>'свод 6х6'!M35*(1+финплан!M24*финплан!$F$2)</f>
        <v>2242454.4</v>
      </c>
      <c r="N25" s="87">
        <f>'свод 6х6'!N35*(1+финплан!N24*финплан!$F$2)</f>
        <v>2518611.2000000002</v>
      </c>
      <c r="O25" s="87">
        <f>'свод 6х6'!O35*(1+финплан!O24*финплан!$F$2)</f>
        <v>2810768.4</v>
      </c>
      <c r="P25" s="87">
        <f>'свод 6х6'!P35*(1+финплан!P24*финплан!$F$2)</f>
        <v>3118926</v>
      </c>
      <c r="Q25" s="87">
        <f>'свод 6х6'!Q35*(1+финплан!Q24*финплан!$F$2)</f>
        <v>2323084</v>
      </c>
      <c r="R25" s="87">
        <f>'свод 6х6'!R35*(1+финплан!R24*финплан!$F$2)</f>
        <v>4959242.4000000004</v>
      </c>
      <c r="S25" s="87">
        <f>'свод 6х6'!S35*(1+финплан!S24*финплан!$F$2)</f>
        <v>5371401.2000000002</v>
      </c>
      <c r="T25" s="87">
        <f>'свод 6х6'!T35*(1+финплан!T24*финплан!$F$2)</f>
        <v>5799560.3999999994</v>
      </c>
      <c r="U25" s="106">
        <f>SUM(C25:T25)</f>
        <v>47480935.96491228</v>
      </c>
    </row>
    <row r="26" spans="1:21">
      <c r="B26" s="105" t="s">
        <v>167</v>
      </c>
      <c r="C26" s="91">
        <f>'свод 10х10'!C35</f>
        <v>3111174.2017543856</v>
      </c>
      <c r="D26" s="91">
        <f>'свод 10х10'!D35*(1+финплан!D24*финплан!$F$2)</f>
        <v>1638883.4</v>
      </c>
      <c r="E26" s="91">
        <f>'свод 10х10'!E35*(1+финплан!E24*финплан!$F$2)</f>
        <v>924000</v>
      </c>
      <c r="F26" s="91">
        <f>'свод 10х10'!F35*(1+финплан!F24*финплан!$F$2)</f>
        <v>688960.8</v>
      </c>
      <c r="G26" s="91">
        <f>'свод 10х10'!G35*(1+финплан!G24*финплан!$F$2)</f>
        <v>765512</v>
      </c>
      <c r="H26" s="91">
        <f>'свод 10х10'!H35*(1+финплан!H24*финплан!$F$2)</f>
        <v>842063.20000000007</v>
      </c>
      <c r="I26" s="91">
        <f>'свод 10х10'!I35*(1+финплан!I24*финплан!$F$2)</f>
        <v>918614.40000000014</v>
      </c>
      <c r="J26" s="91">
        <f>'свод 10х10'!J35*(1+финплан!J24*финплан!$F$2)</f>
        <v>995165.6</v>
      </c>
      <c r="K26" s="91">
        <f>'свод 10х10'!K35*(1+финплан!K24*финплан!$F$2)</f>
        <v>1071716.8</v>
      </c>
      <c r="L26" s="91">
        <f>'свод 10х10'!L35*(1+финплан!L24*финплан!$F$2)</f>
        <v>1508268</v>
      </c>
      <c r="M26" s="91">
        <f>'свод 10х10'!M35*(1+финплан!M24*финплан!$F$2)</f>
        <v>1608819.2000000002</v>
      </c>
      <c r="N26" s="91">
        <f>'свод 10х10'!N35*(1+финплан!N24*финплан!$F$2)</f>
        <v>1845370.4000000001</v>
      </c>
      <c r="O26" s="91">
        <f>'свод 10х10'!O35*(1+финплан!O24*финплан!$F$2)</f>
        <v>2097921.6</v>
      </c>
      <c r="P26" s="91">
        <f>'свод 10х10'!P35*(1+финплан!P24*финплан!$F$2)</f>
        <v>2366472.8000000003</v>
      </c>
      <c r="Q26" s="91">
        <f>'свод 10х10'!Q35*(1+финплан!Q24*финплан!$F$2)</f>
        <v>1531024</v>
      </c>
      <c r="R26" s="91">
        <f>'свод 10х10'!R35*(1+финплан!R24*финплан!$F$2)</f>
        <v>4127575.2</v>
      </c>
      <c r="S26" s="91">
        <f>'свод 10х10'!S35*(1+финплан!S24*финплан!$F$2)</f>
        <v>4500126.4000000004</v>
      </c>
      <c r="T26" s="91">
        <f>'свод 10х10'!T35*(1+финплан!T24*финплан!$F$2)</f>
        <v>4888677.5999999996</v>
      </c>
      <c r="U26" s="106">
        <f t="shared" ref="U26:U31" si="6">SUM(C26:T26)</f>
        <v>35430345.60175439</v>
      </c>
    </row>
    <row r="27" spans="1:21">
      <c r="B27" s="107" t="s">
        <v>119</v>
      </c>
      <c r="C27" s="88">
        <f>'затраты культуры междурядье'!K16</f>
        <v>436875</v>
      </c>
      <c r="D27" s="88">
        <f>$C$27*(1+D24*$F$2)</f>
        <v>611625</v>
      </c>
      <c r="E27" s="88">
        <f t="shared" ref="E27:L27" si="7">$C$27*(1+E24*$F$2)</f>
        <v>699000</v>
      </c>
      <c r="F27" s="88">
        <f t="shared" si="7"/>
        <v>786375</v>
      </c>
      <c r="G27" s="88">
        <f t="shared" si="7"/>
        <v>873750</v>
      </c>
      <c r="H27" s="88">
        <f t="shared" si="7"/>
        <v>961125.00000000012</v>
      </c>
      <c r="I27" s="88">
        <f t="shared" si="7"/>
        <v>1048500.0000000001</v>
      </c>
      <c r="J27" s="88">
        <f t="shared" si="7"/>
        <v>1135875</v>
      </c>
      <c r="K27" s="88">
        <f t="shared" si="7"/>
        <v>1223250</v>
      </c>
      <c r="L27" s="88">
        <f t="shared" si="7"/>
        <v>1310625</v>
      </c>
      <c r="M27" s="88"/>
      <c r="N27" s="88"/>
      <c r="O27" s="88"/>
      <c r="P27" s="88"/>
      <c r="Q27" s="88"/>
      <c r="R27" s="88"/>
      <c r="S27" s="88"/>
      <c r="T27" s="88"/>
      <c r="U27" s="108">
        <f t="shared" si="6"/>
        <v>9087000</v>
      </c>
    </row>
    <row r="28" spans="1:21">
      <c r="B28" s="107" t="s">
        <v>120</v>
      </c>
      <c r="C28" s="88">
        <f>'затраты культуры междурядье'!K17</f>
        <v>656250</v>
      </c>
      <c r="D28" s="88">
        <f>$C$28*(1+D24*$F$2)</f>
        <v>918749.99999999988</v>
      </c>
      <c r="E28" s="88">
        <f t="shared" ref="E28:L28" si="8">$C$28*(1+E24*$F$2)</f>
        <v>1050000</v>
      </c>
      <c r="F28" s="88">
        <f t="shared" si="8"/>
        <v>1181250</v>
      </c>
      <c r="G28" s="88">
        <f t="shared" si="8"/>
        <v>1312500</v>
      </c>
      <c r="H28" s="88">
        <f t="shared" si="8"/>
        <v>1443750.0000000002</v>
      </c>
      <c r="I28" s="88">
        <f t="shared" si="8"/>
        <v>1575000.0000000002</v>
      </c>
      <c r="J28" s="88">
        <f t="shared" si="8"/>
        <v>1706250</v>
      </c>
      <c r="K28" s="88">
        <f t="shared" si="8"/>
        <v>1837499.9999999998</v>
      </c>
      <c r="L28" s="88">
        <f t="shared" si="8"/>
        <v>1968750</v>
      </c>
      <c r="M28" s="88"/>
      <c r="N28" s="88"/>
      <c r="O28" s="88"/>
      <c r="P28" s="88"/>
      <c r="Q28" s="88"/>
      <c r="R28" s="88"/>
      <c r="S28" s="88"/>
      <c r="T28" s="88"/>
      <c r="U28" s="108">
        <f t="shared" si="6"/>
        <v>13650000</v>
      </c>
    </row>
    <row r="29" spans="1:21">
      <c r="B29" s="107" t="s">
        <v>121</v>
      </c>
      <c r="C29" s="88">
        <f>'затраты культуры междурядье'!K18</f>
        <v>640000</v>
      </c>
      <c r="D29" s="88">
        <f>$C$29*(1+D24*$F$2)</f>
        <v>896000</v>
      </c>
      <c r="E29" s="88">
        <f t="shared" ref="E29:L29" si="9">$C$29*(1+E24*$F$2)</f>
        <v>1024000</v>
      </c>
      <c r="F29" s="88">
        <f t="shared" si="9"/>
        <v>1152000</v>
      </c>
      <c r="G29" s="88">
        <f t="shared" si="9"/>
        <v>1280000</v>
      </c>
      <c r="H29" s="88">
        <f t="shared" si="9"/>
        <v>1408000</v>
      </c>
      <c r="I29" s="88">
        <f t="shared" si="9"/>
        <v>1536000.0000000002</v>
      </c>
      <c r="J29" s="88">
        <f t="shared" si="9"/>
        <v>1664000</v>
      </c>
      <c r="K29" s="88">
        <f t="shared" si="9"/>
        <v>1792000</v>
      </c>
      <c r="L29" s="88">
        <f t="shared" si="9"/>
        <v>1920000</v>
      </c>
      <c r="M29" s="88"/>
      <c r="N29" s="88"/>
      <c r="O29" s="88"/>
      <c r="P29" s="88"/>
      <c r="Q29" s="88"/>
      <c r="R29" s="88"/>
      <c r="S29" s="88"/>
      <c r="T29" s="88"/>
      <c r="U29" s="108">
        <f t="shared" si="6"/>
        <v>13312000</v>
      </c>
    </row>
    <row r="30" spans="1:21">
      <c r="B30" s="107" t="s">
        <v>122</v>
      </c>
      <c r="C30" s="88">
        <f>'затраты культуры междурядье'!K19</f>
        <v>490000</v>
      </c>
      <c r="D30" s="88">
        <f>$C$30*(1+D24*$F$2)</f>
        <v>686000</v>
      </c>
      <c r="E30" s="88">
        <f t="shared" ref="E30:T30" si="10">$C$30*(1+E24*$F$2)</f>
        <v>784000</v>
      </c>
      <c r="F30" s="88">
        <f t="shared" si="10"/>
        <v>882000</v>
      </c>
      <c r="G30" s="88">
        <f t="shared" si="10"/>
        <v>980000</v>
      </c>
      <c r="H30" s="88">
        <f t="shared" si="10"/>
        <v>1078000</v>
      </c>
      <c r="I30" s="88">
        <f t="shared" si="10"/>
        <v>1176000.0000000002</v>
      </c>
      <c r="J30" s="88">
        <f t="shared" si="10"/>
        <v>1274000</v>
      </c>
      <c r="K30" s="88">
        <f t="shared" si="10"/>
        <v>1372000</v>
      </c>
      <c r="L30" s="88">
        <f t="shared" si="10"/>
        <v>1470000</v>
      </c>
      <c r="M30" s="88">
        <f t="shared" si="10"/>
        <v>1568000</v>
      </c>
      <c r="N30" s="88">
        <f t="shared" si="10"/>
        <v>1666000.0000000002</v>
      </c>
      <c r="O30" s="88">
        <f t="shared" si="10"/>
        <v>1764000</v>
      </c>
      <c r="P30" s="88">
        <f t="shared" si="10"/>
        <v>1862000.0000000002</v>
      </c>
      <c r="Q30" s="88">
        <f t="shared" si="10"/>
        <v>1960000</v>
      </c>
      <c r="R30" s="88">
        <f t="shared" si="10"/>
        <v>2058000</v>
      </c>
      <c r="S30" s="88">
        <f t="shared" si="10"/>
        <v>2156000</v>
      </c>
      <c r="T30" s="88">
        <f t="shared" si="10"/>
        <v>2254000</v>
      </c>
      <c r="U30" s="108">
        <f t="shared" si="6"/>
        <v>25480000</v>
      </c>
    </row>
    <row r="31" spans="1:21">
      <c r="B31" s="109" t="s">
        <v>151</v>
      </c>
      <c r="C31" s="89">
        <f>'затраты культуры междурядье'!K20</f>
        <v>245000</v>
      </c>
      <c r="D31" s="89"/>
      <c r="E31" s="89"/>
      <c r="F31" s="89">
        <f>('затраты культуры междурядье'!$I$20*0.4)*(1+финплан!F24+финплан!$F$2)</f>
        <v>624000</v>
      </c>
      <c r="G31" s="89">
        <f>('затраты культуры междурядье'!$I$20*0.7)*(1+финплан!G24+финплан!$F$2)</f>
        <v>1302000</v>
      </c>
      <c r="H31" s="89">
        <f>('затраты культуры междурядье'!$I$20*0.9)*(1+финплан!H24+финплан!$F$2)</f>
        <v>1944000</v>
      </c>
      <c r="I31" s="89">
        <f>'затраты культуры междурядье'!$I$20*(1+финплан!I24+финплан!$F$2)</f>
        <v>2460000</v>
      </c>
      <c r="J31" s="89">
        <f>'затраты культуры междурядье'!$I$20*(1+финплан!J24+финплан!$F$2)</f>
        <v>2760000</v>
      </c>
      <c r="K31" s="89">
        <f>'затраты культуры междурядье'!$I$20*(1+финплан!K24+финплан!$F$2)</f>
        <v>3060000</v>
      </c>
      <c r="L31" s="89">
        <f>'затраты культуры междурядье'!$I$20*(1+финплан!L24+финплан!$F$2)</f>
        <v>3360000</v>
      </c>
      <c r="M31" s="89">
        <f>'затраты культуры междурядье'!$I$20*(1+финплан!M24+финплан!$F$2)</f>
        <v>3660000</v>
      </c>
      <c r="N31" s="89">
        <f>'затраты культуры междурядье'!$I$20*(1+финплан!N24+финплан!$F$2)</f>
        <v>3960000</v>
      </c>
      <c r="O31" s="89">
        <f>'затраты культуры междурядье'!$I$20*(1+финплан!O24+финплан!$F$2)</f>
        <v>4260000</v>
      </c>
      <c r="P31" s="89">
        <f>'затраты культуры междурядье'!$I$20*(1+финплан!P24+финплан!$F$2)</f>
        <v>4560000</v>
      </c>
      <c r="Q31" s="89">
        <f>'затраты культуры междурядье'!$I$20*(1+финплан!Q24+финплан!$F$2)</f>
        <v>4860000</v>
      </c>
      <c r="R31" s="89">
        <f>'затраты культуры междурядье'!$I$20*(1+финплан!R24+финплан!$F$2)</f>
        <v>5160000</v>
      </c>
      <c r="S31" s="89">
        <f>'затраты культуры междурядье'!$I$20*(1+финплан!S24+финплан!$F$2)</f>
        <v>5460000</v>
      </c>
      <c r="T31" s="89">
        <f>'затраты культуры междурядье'!$I$20*(1+финплан!T24+финплан!$F$2)</f>
        <v>5760000</v>
      </c>
      <c r="U31" s="108">
        <f t="shared" si="6"/>
        <v>53435000</v>
      </c>
    </row>
    <row r="32" spans="1:21">
      <c r="A32" s="153" t="s">
        <v>101</v>
      </c>
      <c r="B32" s="132" t="s">
        <v>199</v>
      </c>
      <c r="C32" s="133">
        <f>C25+C31</f>
        <v>4807727.9649122804</v>
      </c>
      <c r="D32" s="133">
        <f>D25+D31</f>
        <v>2099731.1999999997</v>
      </c>
      <c r="E32" s="133">
        <f>E25+E31</f>
        <v>1557604.8</v>
      </c>
      <c r="F32" s="133">
        <f>F25+F31</f>
        <v>1669368</v>
      </c>
      <c r="G32" s="133">
        <f>G25+G31</f>
        <v>2463522</v>
      </c>
      <c r="H32" s="133">
        <f>H25+H31</f>
        <v>3221676.4000000004</v>
      </c>
      <c r="I32" s="133">
        <f>I25+I31</f>
        <v>3853831.2</v>
      </c>
      <c r="J32" s="133">
        <f>J25+J31</f>
        <v>4269986.4000000004</v>
      </c>
      <c r="K32" s="133">
        <f>K25+K31</f>
        <v>4686142</v>
      </c>
      <c r="L32" s="133">
        <f>L25+L31</f>
        <v>5462298</v>
      </c>
      <c r="M32" s="133">
        <f>M25+M31</f>
        <v>5902454.4000000004</v>
      </c>
      <c r="N32" s="133">
        <f>N25+N31</f>
        <v>6478611.2000000002</v>
      </c>
      <c r="O32" s="133">
        <f>O25+O31</f>
        <v>7070768.4000000004</v>
      </c>
      <c r="P32" s="133">
        <f>P25+P31</f>
        <v>7678926</v>
      </c>
      <c r="Q32" s="133">
        <f>Q25+Q31</f>
        <v>7183084</v>
      </c>
      <c r="R32" s="133">
        <f>R25+R31</f>
        <v>10119242.4</v>
      </c>
      <c r="S32" s="133">
        <f>S25+S31</f>
        <v>10831401.199999999</v>
      </c>
      <c r="T32" s="133">
        <f>T25+T31</f>
        <v>11559560.399999999</v>
      </c>
      <c r="U32" s="134">
        <f>U25+U31</f>
        <v>100915935.96491228</v>
      </c>
    </row>
    <row r="33" spans="1:21">
      <c r="A33" s="153"/>
      <c r="B33" s="132" t="s">
        <v>181</v>
      </c>
      <c r="C33" s="133">
        <f>C25+C27+C31</f>
        <v>5244602.9649122804</v>
      </c>
      <c r="D33" s="133">
        <f>D25+D27+D31</f>
        <v>2711356.1999999997</v>
      </c>
      <c r="E33" s="133">
        <f>E25+E27+E31</f>
        <v>2256604.7999999998</v>
      </c>
      <c r="F33" s="133">
        <f>F25+F27+F31</f>
        <v>2455743</v>
      </c>
      <c r="G33" s="133">
        <f>G25+G27+G31</f>
        <v>3337272</v>
      </c>
      <c r="H33" s="133">
        <f>H25+H27+H31</f>
        <v>4182801.4000000004</v>
      </c>
      <c r="I33" s="133">
        <f>I25+I27+I31</f>
        <v>4902331.2</v>
      </c>
      <c r="J33" s="133">
        <f>J25+J27+J31</f>
        <v>5405861.4000000004</v>
      </c>
      <c r="K33" s="133">
        <f>K25+K27+K31</f>
        <v>5909392</v>
      </c>
      <c r="L33" s="133">
        <f>L25+L27+L31</f>
        <v>6772923</v>
      </c>
      <c r="M33" s="133">
        <f>M25+M27+M31</f>
        <v>5902454.4000000004</v>
      </c>
      <c r="N33" s="133">
        <f>N25+N27+N31</f>
        <v>6478611.2000000002</v>
      </c>
      <c r="O33" s="133">
        <f>O25+O27+O31</f>
        <v>7070768.4000000004</v>
      </c>
      <c r="P33" s="133">
        <f>P25+P27+P31</f>
        <v>7678926</v>
      </c>
      <c r="Q33" s="133">
        <f>Q25+Q27+Q31</f>
        <v>7183084</v>
      </c>
      <c r="R33" s="133">
        <f>R25+R27+R31</f>
        <v>10119242.4</v>
      </c>
      <c r="S33" s="133">
        <f>S25+S27+S31</f>
        <v>10831401.199999999</v>
      </c>
      <c r="T33" s="133">
        <f>T25+T27+T31</f>
        <v>11559560.399999999</v>
      </c>
      <c r="U33" s="134">
        <f>U25+U27+U31</f>
        <v>110002935.96491228</v>
      </c>
    </row>
    <row r="34" spans="1:21">
      <c r="A34" s="153"/>
      <c r="B34" s="132" t="s">
        <v>182</v>
      </c>
      <c r="C34" s="133">
        <f>C25+C28+C31</f>
        <v>5463977.9649122804</v>
      </c>
      <c r="D34" s="133">
        <f>D25+D28+D31</f>
        <v>3018481.1999999997</v>
      </c>
      <c r="E34" s="133">
        <f>E25+E28+E31</f>
        <v>2607604.7999999998</v>
      </c>
      <c r="F34" s="133">
        <f>F25+F28+F31</f>
        <v>2850618</v>
      </c>
      <c r="G34" s="133">
        <f>G25+G28+G31</f>
        <v>3776022</v>
      </c>
      <c r="H34" s="133">
        <f>H25+H28+H31</f>
        <v>4665426.4000000004</v>
      </c>
      <c r="I34" s="133">
        <f>I25+I28+I31</f>
        <v>5428831.2000000002</v>
      </c>
      <c r="J34" s="133">
        <f>J25+J28+J31</f>
        <v>5976236.4000000004</v>
      </c>
      <c r="K34" s="133">
        <f>K25+K28+K31</f>
        <v>6523642</v>
      </c>
      <c r="L34" s="133">
        <f>L25+L28+L31</f>
        <v>7431048</v>
      </c>
      <c r="M34" s="133">
        <f>M25+M28+M31</f>
        <v>5902454.4000000004</v>
      </c>
      <c r="N34" s="133">
        <f>N25+N28+N31</f>
        <v>6478611.2000000002</v>
      </c>
      <c r="O34" s="133">
        <f>O25+O28+O31</f>
        <v>7070768.4000000004</v>
      </c>
      <c r="P34" s="133">
        <f>P25+P28+P31</f>
        <v>7678926</v>
      </c>
      <c r="Q34" s="133">
        <f>Q25+Q28+Q31</f>
        <v>7183084</v>
      </c>
      <c r="R34" s="133">
        <f>R25+R28+R31</f>
        <v>10119242.4</v>
      </c>
      <c r="S34" s="133">
        <f>S25+S28+S31</f>
        <v>10831401.199999999</v>
      </c>
      <c r="T34" s="133">
        <f>T25+T28+T31</f>
        <v>11559560.399999999</v>
      </c>
      <c r="U34" s="134">
        <f>U25+U28+U31</f>
        <v>114565935.96491228</v>
      </c>
    </row>
    <row r="35" spans="1:21">
      <c r="A35" s="153"/>
      <c r="B35" s="132" t="s">
        <v>183</v>
      </c>
      <c r="C35" s="133">
        <f>C25+C29+C31</f>
        <v>5447727.9649122804</v>
      </c>
      <c r="D35" s="133">
        <f>D25+D29+D31</f>
        <v>2995731.1999999997</v>
      </c>
      <c r="E35" s="133">
        <f>E25+E29+E31</f>
        <v>2581604.7999999998</v>
      </c>
      <c r="F35" s="133">
        <f>F25+F29+F31</f>
        <v>2821368</v>
      </c>
      <c r="G35" s="133">
        <f>G25+G29+G31</f>
        <v>3743522</v>
      </c>
      <c r="H35" s="133">
        <f>H25+H29+H31</f>
        <v>4629676.4000000004</v>
      </c>
      <c r="I35" s="133">
        <f>I25+I29+I31</f>
        <v>5389831.2000000002</v>
      </c>
      <c r="J35" s="133">
        <f>J25+J29+J31</f>
        <v>5933986.4000000004</v>
      </c>
      <c r="K35" s="133">
        <f>K25+K29+K31</f>
        <v>6478142</v>
      </c>
      <c r="L35" s="133">
        <f>L25+L29+L31</f>
        <v>7382298</v>
      </c>
      <c r="M35" s="133">
        <f>M25+M29+M31</f>
        <v>5902454.4000000004</v>
      </c>
      <c r="N35" s="133">
        <f>N25+N29+N31</f>
        <v>6478611.2000000002</v>
      </c>
      <c r="O35" s="133">
        <f>O25+O29+O31</f>
        <v>7070768.4000000004</v>
      </c>
      <c r="P35" s="133">
        <f>P25+P29+P31</f>
        <v>7678926</v>
      </c>
      <c r="Q35" s="133">
        <f>Q25+Q29+Q31</f>
        <v>7183084</v>
      </c>
      <c r="R35" s="133">
        <f>R25+R29+R31</f>
        <v>10119242.4</v>
      </c>
      <c r="S35" s="133">
        <f>S25+S29+S31</f>
        <v>10831401.199999999</v>
      </c>
      <c r="T35" s="133">
        <f>T25+T29+T31</f>
        <v>11559560.399999999</v>
      </c>
      <c r="U35" s="134">
        <f>U25+U29+U31</f>
        <v>114227935.96491228</v>
      </c>
    </row>
    <row r="36" spans="1:21">
      <c r="A36" s="153"/>
      <c r="B36" s="132" t="s">
        <v>184</v>
      </c>
      <c r="C36" s="133">
        <f>C25+C30+C31</f>
        <v>5297727.9649122804</v>
      </c>
      <c r="D36" s="133">
        <f>D25+D30+D31</f>
        <v>2785731.1999999997</v>
      </c>
      <c r="E36" s="133">
        <f>E25+E30+E31</f>
        <v>2341604.7999999998</v>
      </c>
      <c r="F36" s="133">
        <f>F25+F30+F31</f>
        <v>2551368</v>
      </c>
      <c r="G36" s="133">
        <f>G25+G30+G31</f>
        <v>3443522</v>
      </c>
      <c r="H36" s="133">
        <f>H25+H30+H31</f>
        <v>4299676.4000000004</v>
      </c>
      <c r="I36" s="133">
        <f>I25+I30+I31</f>
        <v>5029831.2</v>
      </c>
      <c r="J36" s="133">
        <f>J25+J30+J31</f>
        <v>5543986.4000000004</v>
      </c>
      <c r="K36" s="133">
        <f>K25+K30+K31</f>
        <v>6058142</v>
      </c>
      <c r="L36" s="133">
        <f>L25+L30+L31</f>
        <v>6932298</v>
      </c>
      <c r="M36" s="133">
        <f>M25+M30+M31</f>
        <v>7470454.4000000004</v>
      </c>
      <c r="N36" s="133">
        <f>N25+N30+N31</f>
        <v>8144611.2000000002</v>
      </c>
      <c r="O36" s="133">
        <f>O25+O30+O31</f>
        <v>8834768.4000000004</v>
      </c>
      <c r="P36" s="133">
        <f>P25+P30+P31</f>
        <v>9540926</v>
      </c>
      <c r="Q36" s="133">
        <f>Q25+Q30+Q31</f>
        <v>9143084</v>
      </c>
      <c r="R36" s="133">
        <f>R25+R30+R31</f>
        <v>12177242.4</v>
      </c>
      <c r="S36" s="133">
        <f>S25+S30+S31</f>
        <v>12987401.199999999</v>
      </c>
      <c r="T36" s="133">
        <f>T25+T30+T31</f>
        <v>13813560.399999999</v>
      </c>
      <c r="U36" s="134">
        <f>U25+U30+U31</f>
        <v>126395935.96491228</v>
      </c>
    </row>
    <row r="37" spans="1:21">
      <c r="A37" s="154" t="s">
        <v>107</v>
      </c>
      <c r="B37" s="135" t="s">
        <v>199</v>
      </c>
      <c r="C37" s="136">
        <f>C26+C31</f>
        <v>3356174.2017543856</v>
      </c>
      <c r="D37" s="136">
        <f>D26+D31</f>
        <v>1638883.4</v>
      </c>
      <c r="E37" s="136">
        <f>E26+E31</f>
        <v>924000</v>
      </c>
      <c r="F37" s="136">
        <f>F26+F31</f>
        <v>1312960.8</v>
      </c>
      <c r="G37" s="136">
        <f>G26+G31</f>
        <v>2067512</v>
      </c>
      <c r="H37" s="136">
        <f>H26+H31</f>
        <v>2786063.2</v>
      </c>
      <c r="I37" s="136">
        <f>I26+I31</f>
        <v>3378614.4000000004</v>
      </c>
      <c r="J37" s="136">
        <f>J26+J31</f>
        <v>3755165.6</v>
      </c>
      <c r="K37" s="136">
        <f>K26+K31</f>
        <v>4131716.8</v>
      </c>
      <c r="L37" s="136">
        <f>L26+L31</f>
        <v>4868268</v>
      </c>
      <c r="M37" s="136">
        <f>M26+M31</f>
        <v>5268819.2</v>
      </c>
      <c r="N37" s="136">
        <f>N26+N31</f>
        <v>5805370.4000000004</v>
      </c>
      <c r="O37" s="136">
        <f>O26+O31</f>
        <v>6357921.5999999996</v>
      </c>
      <c r="P37" s="136">
        <f>P26+P31</f>
        <v>6926472.8000000007</v>
      </c>
      <c r="Q37" s="136">
        <f>Q26+Q31</f>
        <v>6391024</v>
      </c>
      <c r="R37" s="136">
        <f>R26+R31</f>
        <v>9287575.1999999993</v>
      </c>
      <c r="S37" s="136">
        <f>S26+S31</f>
        <v>9960126.4000000004</v>
      </c>
      <c r="T37" s="136">
        <f>T26+T31</f>
        <v>10648677.6</v>
      </c>
      <c r="U37" s="137">
        <f>U26+U31</f>
        <v>88865345.601754397</v>
      </c>
    </row>
    <row r="38" spans="1:21" ht="15" customHeight="1">
      <c r="A38" s="154"/>
      <c r="B38" s="135" t="s">
        <v>181</v>
      </c>
      <c r="C38" s="136">
        <f>C26+C27+C31</f>
        <v>3793049.2017543856</v>
      </c>
      <c r="D38" s="136">
        <f>D26+D27+D31</f>
        <v>2250508.4</v>
      </c>
      <c r="E38" s="136">
        <f>E26+E27+E31</f>
        <v>1623000</v>
      </c>
      <c r="F38" s="136">
        <f>F26+F27+F31</f>
        <v>2099335.7999999998</v>
      </c>
      <c r="G38" s="136">
        <f>G26+G27+G31</f>
        <v>2941262</v>
      </c>
      <c r="H38" s="136">
        <f>H26+H27+H31</f>
        <v>3747188.2</v>
      </c>
      <c r="I38" s="136">
        <f>I26+I27+I31</f>
        <v>4427114.4000000004</v>
      </c>
      <c r="J38" s="136">
        <f>J26+J27+J31</f>
        <v>4891040.5999999996</v>
      </c>
      <c r="K38" s="136">
        <f>K26+K27+K31</f>
        <v>5354966.8</v>
      </c>
      <c r="L38" s="136">
        <f>L26+L27+L31</f>
        <v>6178893</v>
      </c>
      <c r="M38" s="136">
        <f>M26+M27+M31</f>
        <v>5268819.2</v>
      </c>
      <c r="N38" s="136">
        <f>N26+N27+N31</f>
        <v>5805370.4000000004</v>
      </c>
      <c r="O38" s="136">
        <f>O26+O27+O31</f>
        <v>6357921.5999999996</v>
      </c>
      <c r="P38" s="136">
        <f>P26+P27+P31</f>
        <v>6926472.8000000007</v>
      </c>
      <c r="Q38" s="136">
        <f>Q26+Q27+Q31</f>
        <v>6391024</v>
      </c>
      <c r="R38" s="136">
        <f>R26+R27+R31</f>
        <v>9287575.1999999993</v>
      </c>
      <c r="S38" s="136">
        <f>S26+S27+S31</f>
        <v>9960126.4000000004</v>
      </c>
      <c r="T38" s="136">
        <f>T26+T27+T31</f>
        <v>10648677.6</v>
      </c>
      <c r="U38" s="137">
        <f>U26+U27+U31</f>
        <v>97952345.601754397</v>
      </c>
    </row>
    <row r="39" spans="1:21">
      <c r="A39" s="154"/>
      <c r="B39" s="135" t="s">
        <v>182</v>
      </c>
      <c r="C39" s="136">
        <f>C26+C28+C31</f>
        <v>4012424.2017543856</v>
      </c>
      <c r="D39" s="136">
        <f>D26+D28+D31</f>
        <v>2557633.4</v>
      </c>
      <c r="E39" s="136">
        <f>E26+E28+E31</f>
        <v>1974000</v>
      </c>
      <c r="F39" s="136">
        <f>F26+F28+F31</f>
        <v>2494210.7999999998</v>
      </c>
      <c r="G39" s="136">
        <f>G26+G28+G31</f>
        <v>3380012</v>
      </c>
      <c r="H39" s="136">
        <f>H26+H28+H31</f>
        <v>4229813.2</v>
      </c>
      <c r="I39" s="136">
        <f>I26+I28+I31</f>
        <v>4953614.4000000004</v>
      </c>
      <c r="J39" s="136">
        <f>J26+J28+J31</f>
        <v>5461415.5999999996</v>
      </c>
      <c r="K39" s="136">
        <f>K26+K28+K31</f>
        <v>5969216.7999999998</v>
      </c>
      <c r="L39" s="136">
        <f>L26+L28+L31</f>
        <v>6837018</v>
      </c>
      <c r="M39" s="136">
        <f>M26+M28+M31</f>
        <v>5268819.2</v>
      </c>
      <c r="N39" s="136">
        <f>N26+N28+N31</f>
        <v>5805370.4000000004</v>
      </c>
      <c r="O39" s="136">
        <f>O26+O28+O31</f>
        <v>6357921.5999999996</v>
      </c>
      <c r="P39" s="136">
        <f>P26+P28+P31</f>
        <v>6926472.8000000007</v>
      </c>
      <c r="Q39" s="136">
        <f>Q26+Q28+Q31</f>
        <v>6391024</v>
      </c>
      <c r="R39" s="136">
        <f>R26+R28+R31</f>
        <v>9287575.1999999993</v>
      </c>
      <c r="S39" s="136">
        <f>S26+S28+S31</f>
        <v>9960126.4000000004</v>
      </c>
      <c r="T39" s="136">
        <f>T26+T28+T31</f>
        <v>10648677.6</v>
      </c>
      <c r="U39" s="137">
        <f>U26+U28+U31</f>
        <v>102515345.6017544</v>
      </c>
    </row>
    <row r="40" spans="1:21">
      <c r="A40" s="154"/>
      <c r="B40" s="135" t="s">
        <v>183</v>
      </c>
      <c r="C40" s="136">
        <f>C26+C29+C31</f>
        <v>3996174.2017543856</v>
      </c>
      <c r="D40" s="136">
        <f>D26+D29+D31</f>
        <v>2534883.4</v>
      </c>
      <c r="E40" s="136">
        <f>E26+E29+E31</f>
        <v>1948000</v>
      </c>
      <c r="F40" s="136">
        <f>F26+F29+F31</f>
        <v>2464960.7999999998</v>
      </c>
      <c r="G40" s="136">
        <f>G26+G29+G31</f>
        <v>3347512</v>
      </c>
      <c r="H40" s="136">
        <f>H26+H29+H31</f>
        <v>4194063.2</v>
      </c>
      <c r="I40" s="136">
        <f>I26+I29+I31</f>
        <v>4914614.4000000004</v>
      </c>
      <c r="J40" s="136">
        <f>J26+J29+J31</f>
        <v>5419165.5999999996</v>
      </c>
      <c r="K40" s="136">
        <f>K26+K29+K31</f>
        <v>5923716.7999999998</v>
      </c>
      <c r="L40" s="136">
        <f>L26+L29+L31</f>
        <v>6788268</v>
      </c>
      <c r="M40" s="136">
        <f>M26+M29+M31</f>
        <v>5268819.2</v>
      </c>
      <c r="N40" s="136">
        <f>N26+N29+N31</f>
        <v>5805370.4000000004</v>
      </c>
      <c r="O40" s="136">
        <f>O26+O29+O31</f>
        <v>6357921.5999999996</v>
      </c>
      <c r="P40" s="136">
        <f>P26+P29+P31</f>
        <v>6926472.8000000007</v>
      </c>
      <c r="Q40" s="136">
        <f>Q26+Q29+Q31</f>
        <v>6391024</v>
      </c>
      <c r="R40" s="136">
        <f>R26+R29+R31</f>
        <v>9287575.1999999993</v>
      </c>
      <c r="S40" s="136">
        <f>S26+S29+S31</f>
        <v>9960126.4000000004</v>
      </c>
      <c r="T40" s="136">
        <f>T26+T29+T31</f>
        <v>10648677.6</v>
      </c>
      <c r="U40" s="137">
        <f>U26+U29+U31</f>
        <v>102177345.6017544</v>
      </c>
    </row>
    <row r="41" spans="1:21">
      <c r="A41" s="154"/>
      <c r="B41" s="135" t="s">
        <v>184</v>
      </c>
      <c r="C41" s="136">
        <f>C26+C30+C31</f>
        <v>3846174.2017543856</v>
      </c>
      <c r="D41" s="136">
        <f>D26+D30+D31</f>
        <v>2324883.4</v>
      </c>
      <c r="E41" s="136">
        <f>E26+E30+E31</f>
        <v>1708000</v>
      </c>
      <c r="F41" s="136">
        <f>F26+F30+F31</f>
        <v>2194960.7999999998</v>
      </c>
      <c r="G41" s="136">
        <f>G26+G30+G31</f>
        <v>3047512</v>
      </c>
      <c r="H41" s="136">
        <f>H26+H30+H31</f>
        <v>3864063.2</v>
      </c>
      <c r="I41" s="136">
        <f>I26+I30+I31</f>
        <v>4554614.4000000004</v>
      </c>
      <c r="J41" s="136">
        <f>J26+J30+J31</f>
        <v>5029165.5999999996</v>
      </c>
      <c r="K41" s="136">
        <f>K26+K30+K31</f>
        <v>5503716.7999999998</v>
      </c>
      <c r="L41" s="136">
        <f>L26+L30+L31</f>
        <v>6338268</v>
      </c>
      <c r="M41" s="136">
        <f>M26+M30+M31</f>
        <v>6836819.2000000002</v>
      </c>
      <c r="N41" s="136">
        <f>N26+N30+N31</f>
        <v>7471370.4000000004</v>
      </c>
      <c r="O41" s="136">
        <f>O26+O30+O31</f>
        <v>8121921.5999999996</v>
      </c>
      <c r="P41" s="136">
        <f>P26+P30+P31</f>
        <v>8788472.8000000007</v>
      </c>
      <c r="Q41" s="136">
        <f>Q26+Q30+Q31</f>
        <v>8351024</v>
      </c>
      <c r="R41" s="136">
        <f>R26+R30+R31</f>
        <v>11345575.199999999</v>
      </c>
      <c r="S41" s="136">
        <f>S26+S30+S31</f>
        <v>12116126.4</v>
      </c>
      <c r="T41" s="136">
        <f>T26+T30+T31</f>
        <v>12902677.6</v>
      </c>
      <c r="U41" s="137">
        <f>U26+U30+U31</f>
        <v>114345345.6017544</v>
      </c>
    </row>
    <row r="42" spans="1:21">
      <c r="B42" s="10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08"/>
    </row>
    <row r="43" spans="1:21">
      <c r="B43" s="104" t="s">
        <v>176</v>
      </c>
      <c r="C43" s="100" t="s">
        <v>13</v>
      </c>
    </row>
    <row r="44" spans="1:21">
      <c r="C44" s="78">
        <v>1</v>
      </c>
      <c r="D44" s="78">
        <v>2</v>
      </c>
      <c r="E44" s="78">
        <v>3</v>
      </c>
      <c r="F44" s="78">
        <v>4</v>
      </c>
      <c r="G44" s="78">
        <v>5</v>
      </c>
      <c r="H44" s="78">
        <v>6</v>
      </c>
      <c r="I44" s="102">
        <v>7</v>
      </c>
      <c r="J44" s="78">
        <v>8</v>
      </c>
      <c r="K44" s="78">
        <v>9</v>
      </c>
      <c r="L44" s="78">
        <v>10</v>
      </c>
      <c r="M44" s="78">
        <v>11</v>
      </c>
      <c r="N44" s="78">
        <v>12</v>
      </c>
      <c r="O44" s="78">
        <v>13</v>
      </c>
      <c r="P44" s="78">
        <v>14</v>
      </c>
      <c r="Q44" s="78">
        <v>15</v>
      </c>
      <c r="R44" s="78">
        <v>16</v>
      </c>
      <c r="S44" s="78">
        <v>17</v>
      </c>
      <c r="T44" s="78">
        <v>18</v>
      </c>
      <c r="U44" s="7" t="s">
        <v>180</v>
      </c>
    </row>
    <row r="45" spans="1:21">
      <c r="B45" s="105" t="s">
        <v>166</v>
      </c>
      <c r="C45" s="130">
        <f>C15-C25</f>
        <v>-4562727.9649122804</v>
      </c>
      <c r="D45" s="130">
        <f>D15-D25</f>
        <v>-2099731.1999999997</v>
      </c>
      <c r="E45" s="130">
        <f>E15-E25</f>
        <v>-1557604.8</v>
      </c>
      <c r="F45" s="130">
        <f>F15-F25</f>
        <v>-1045368</v>
      </c>
      <c r="G45" s="130">
        <f>G15-G25</f>
        <v>-1161522</v>
      </c>
      <c r="H45" s="130">
        <f>H15-H25</f>
        <v>-1277676.4000000001</v>
      </c>
      <c r="I45" s="131">
        <f>I15-I25</f>
        <v>3175768.8000000007</v>
      </c>
      <c r="J45" s="130">
        <f>J15-J25</f>
        <v>8390813.5999999996</v>
      </c>
      <c r="K45" s="130">
        <f>K15-K25</f>
        <v>17033058</v>
      </c>
      <c r="L45" s="130">
        <f>L15-L25</f>
        <v>32169701.999999993</v>
      </c>
      <c r="M45" s="130">
        <f>M15-M25</f>
        <v>61731945.600000001</v>
      </c>
      <c r="N45" s="130">
        <f>N15-N25</f>
        <v>88111788.799999997</v>
      </c>
      <c r="O45" s="130">
        <f>O15-O25</f>
        <v>14325231.6</v>
      </c>
      <c r="P45" s="130">
        <f>P15-P25</f>
        <v>134349874</v>
      </c>
      <c r="Q45" s="130">
        <f>Q15-Q25</f>
        <v>169036916</v>
      </c>
      <c r="R45" s="130">
        <f>R15-R25</f>
        <v>3037557.5999999996</v>
      </c>
      <c r="S45" s="130">
        <f>S15-S25</f>
        <v>237578998.79999998</v>
      </c>
      <c r="T45" s="130">
        <f>T15-T25</f>
        <v>256952439.59999999</v>
      </c>
      <c r="U45" s="128">
        <f>SUM(C45:T45)</f>
        <v>1014189464.0350877</v>
      </c>
    </row>
    <row r="46" spans="1:21">
      <c r="B46" s="105" t="s">
        <v>167</v>
      </c>
      <c r="C46" s="128">
        <f>C16-C26</f>
        <v>-3111174.2017543856</v>
      </c>
      <c r="D46" s="128">
        <f>D16-D26</f>
        <v>-1638883.4</v>
      </c>
      <c r="E46" s="128">
        <f>E16-E26</f>
        <v>-924000</v>
      </c>
      <c r="F46" s="128">
        <f>F16-F26</f>
        <v>-688960.8</v>
      </c>
      <c r="G46" s="128">
        <f>G16-G26</f>
        <v>-765512</v>
      </c>
      <c r="H46" s="128">
        <f>H16-H26</f>
        <v>-842063.20000000007</v>
      </c>
      <c r="I46" s="129">
        <f>I16-I26</f>
        <v>713385.60000000009</v>
      </c>
      <c r="J46" s="128">
        <f>J16-J26</f>
        <v>2540834.4</v>
      </c>
      <c r="K46" s="128">
        <f>K16-K26</f>
        <v>5592283.1999999993</v>
      </c>
      <c r="L46" s="128">
        <f>L16-L26</f>
        <v>10731732</v>
      </c>
      <c r="M46" s="128">
        <f>M16-M26</f>
        <v>21239180.800000001</v>
      </c>
      <c r="N46" s="128">
        <f>N16-N26</f>
        <v>30522629.599999998</v>
      </c>
      <c r="O46" s="128">
        <f>O16-O26</f>
        <v>4022078.4</v>
      </c>
      <c r="P46" s="128">
        <f>P16-P26</f>
        <v>46729527.200000003</v>
      </c>
      <c r="Q46" s="128">
        <f>Q16-Q26</f>
        <v>59668976</v>
      </c>
      <c r="R46" s="128">
        <f>R16-R26</f>
        <v>-1271575.2000000002</v>
      </c>
      <c r="S46" s="128">
        <f>S16-S26</f>
        <v>82267873.599999994</v>
      </c>
      <c r="T46" s="128">
        <f>T16-T26</f>
        <v>88951322.400000006</v>
      </c>
      <c r="U46" s="128">
        <f t="shared" ref="U46:U51" si="11">SUM(C46:T46)</f>
        <v>343737654.39824563</v>
      </c>
    </row>
    <row r="47" spans="1:21">
      <c r="B47" s="107" t="s">
        <v>119</v>
      </c>
      <c r="C47" s="108">
        <f>C17-C27</f>
        <v>13125</v>
      </c>
      <c r="D47" s="108">
        <f>D17-D27</f>
        <v>18375</v>
      </c>
      <c r="E47" s="108">
        <f>E17-E27</f>
        <v>21000</v>
      </c>
      <c r="F47" s="108">
        <f>F17-F27</f>
        <v>23625</v>
      </c>
      <c r="G47" s="108">
        <f>G17-G27</f>
        <v>26250</v>
      </c>
      <c r="H47" s="108">
        <f>H17-H27</f>
        <v>28875</v>
      </c>
      <c r="I47" s="108">
        <f>I17-I27</f>
        <v>31500.000000000116</v>
      </c>
      <c r="J47" s="108">
        <f>J17-J27</f>
        <v>34125</v>
      </c>
      <c r="K47" s="108">
        <f>K17-K27</f>
        <v>36750</v>
      </c>
      <c r="L47" s="108">
        <f>L17-L27</f>
        <v>39375</v>
      </c>
      <c r="U47" s="108">
        <f t="shared" si="11"/>
        <v>273000.00000000012</v>
      </c>
    </row>
    <row r="48" spans="1:21">
      <c r="B48" s="107" t="s">
        <v>120</v>
      </c>
      <c r="C48" s="108">
        <f>C18-C28</f>
        <v>243750</v>
      </c>
      <c r="D48" s="108">
        <f>D18-D28</f>
        <v>341250.00000000012</v>
      </c>
      <c r="E48" s="108">
        <f>E18-E28</f>
        <v>390000</v>
      </c>
      <c r="F48" s="108">
        <f>F18-F28</f>
        <v>438750</v>
      </c>
      <c r="G48" s="108">
        <f>G18-G28</f>
        <v>487500</v>
      </c>
      <c r="H48" s="108">
        <f>H18-H28</f>
        <v>536249.99999999977</v>
      </c>
      <c r="I48" s="108">
        <f>I18-I28</f>
        <v>585000.00000000023</v>
      </c>
      <c r="J48" s="108">
        <f>J18-J28</f>
        <v>633750</v>
      </c>
      <c r="K48" s="108">
        <f>K18-K28</f>
        <v>682500.00000000023</v>
      </c>
      <c r="L48" s="108">
        <f>L18-L28</f>
        <v>731250</v>
      </c>
      <c r="U48" s="108">
        <f t="shared" si="11"/>
        <v>5070000</v>
      </c>
    </row>
    <row r="49" spans="1:21">
      <c r="B49" s="107" t="s">
        <v>121</v>
      </c>
      <c r="C49" s="108">
        <f>C19-C29</f>
        <v>485000</v>
      </c>
      <c r="D49" s="108">
        <f>D19-D29</f>
        <v>679000</v>
      </c>
      <c r="E49" s="108">
        <f>E19-E29</f>
        <v>776000</v>
      </c>
      <c r="F49" s="108">
        <f>F19-F29</f>
        <v>873000</v>
      </c>
      <c r="G49" s="108">
        <f>G19-G29</f>
        <v>970000</v>
      </c>
      <c r="H49" s="108">
        <f>H19-H29</f>
        <v>1067000</v>
      </c>
      <c r="I49" s="108">
        <f>I19-I29</f>
        <v>1164000.0000000002</v>
      </c>
      <c r="J49" s="108">
        <f>J19-J29</f>
        <v>1261000</v>
      </c>
      <c r="K49" s="108">
        <f>K19-K29</f>
        <v>1358000</v>
      </c>
      <c r="L49" s="108">
        <f>L19-L29</f>
        <v>1455000</v>
      </c>
      <c r="U49" s="108">
        <f t="shared" si="11"/>
        <v>10088000</v>
      </c>
    </row>
    <row r="50" spans="1:21">
      <c r="B50" s="107" t="s">
        <v>122</v>
      </c>
      <c r="C50" s="108">
        <f>C20-C30</f>
        <v>447500</v>
      </c>
      <c r="D50" s="108">
        <f>D20-D30</f>
        <v>626500</v>
      </c>
      <c r="E50" s="108">
        <f>E20-E30</f>
        <v>716000</v>
      </c>
      <c r="F50" s="108">
        <f>F20-F30</f>
        <v>805500</v>
      </c>
      <c r="G50" s="108">
        <f>G20-G30</f>
        <v>895000</v>
      </c>
      <c r="H50" s="108">
        <f>H20-H30</f>
        <v>984500</v>
      </c>
      <c r="I50" s="108">
        <f>I20-I30</f>
        <v>1074000.0000000002</v>
      </c>
      <c r="J50" s="108">
        <f>J20-J30</f>
        <v>1163500</v>
      </c>
      <c r="K50" s="108">
        <f>K20-K30</f>
        <v>1253000</v>
      </c>
      <c r="L50" s="108">
        <f>L20-L30</f>
        <v>1342500</v>
      </c>
      <c r="U50" s="108">
        <f t="shared" si="11"/>
        <v>9308000</v>
      </c>
    </row>
    <row r="51" spans="1:21">
      <c r="B51" s="109" t="s">
        <v>151</v>
      </c>
      <c r="C51" s="127">
        <f>C21-C31</f>
        <v>-245000</v>
      </c>
      <c r="D51" s="127">
        <f>D21-D31</f>
        <v>0</v>
      </c>
      <c r="E51" s="127">
        <f>E21-E31</f>
        <v>0</v>
      </c>
      <c r="F51" s="127">
        <f>F21-F31</f>
        <v>1104000</v>
      </c>
      <c r="G51" s="127">
        <f>G21-G31</f>
        <v>2058000</v>
      </c>
      <c r="H51" s="127">
        <f>H21-H31</f>
        <v>2808000</v>
      </c>
      <c r="I51" s="127">
        <f>I21-I31</f>
        <v>3300000.0000000009</v>
      </c>
      <c r="J51" s="127">
        <f>J21-J31</f>
        <v>3480000</v>
      </c>
      <c r="K51" s="127">
        <f>K21-K31</f>
        <v>3660000</v>
      </c>
      <c r="L51" s="127">
        <f>L21-L31</f>
        <v>3840000</v>
      </c>
      <c r="M51" s="127">
        <f>M21-M31</f>
        <v>4020000</v>
      </c>
      <c r="N51" s="127">
        <f>N21-N31</f>
        <v>4200000.0000000009</v>
      </c>
      <c r="O51" s="127">
        <f>O21-O31</f>
        <v>4380000</v>
      </c>
      <c r="P51" s="127">
        <f>P21-P31</f>
        <v>4560000.0000000019</v>
      </c>
      <c r="Q51" s="127">
        <f>Q21-Q31</f>
        <v>4740000</v>
      </c>
      <c r="R51" s="127">
        <f>R21-R31</f>
        <v>4920000</v>
      </c>
      <c r="S51" s="127">
        <f>S21-S31</f>
        <v>5100000</v>
      </c>
      <c r="T51" s="127">
        <f>T21-T31</f>
        <v>5280000</v>
      </c>
      <c r="U51" s="127">
        <f t="shared" si="11"/>
        <v>57205000</v>
      </c>
    </row>
    <row r="52" spans="1:21">
      <c r="A52" s="153" t="s">
        <v>101</v>
      </c>
      <c r="B52" s="132" t="s">
        <v>199</v>
      </c>
      <c r="C52" s="133">
        <f>C45+C51</f>
        <v>-4807727.9649122804</v>
      </c>
      <c r="D52" s="133">
        <f t="shared" ref="D52:U52" si="12">D45+D51</f>
        <v>-2099731.1999999997</v>
      </c>
      <c r="E52" s="133">
        <f t="shared" si="12"/>
        <v>-1557604.8</v>
      </c>
      <c r="F52" s="133">
        <f t="shared" si="12"/>
        <v>58632</v>
      </c>
      <c r="G52" s="133">
        <f t="shared" si="12"/>
        <v>896478</v>
      </c>
      <c r="H52" s="133">
        <f t="shared" si="12"/>
        <v>1530323.5999999999</v>
      </c>
      <c r="I52" s="133">
        <f t="shared" si="12"/>
        <v>6475768.8000000017</v>
      </c>
      <c r="J52" s="133">
        <f t="shared" si="12"/>
        <v>11870813.6</v>
      </c>
      <c r="K52" s="133">
        <f t="shared" si="12"/>
        <v>20693058</v>
      </c>
      <c r="L52" s="133">
        <f t="shared" si="12"/>
        <v>36009701.999999993</v>
      </c>
      <c r="M52" s="133">
        <f t="shared" si="12"/>
        <v>65751945.600000001</v>
      </c>
      <c r="N52" s="133">
        <f t="shared" si="12"/>
        <v>92311788.799999997</v>
      </c>
      <c r="O52" s="133">
        <f t="shared" si="12"/>
        <v>18705231.600000001</v>
      </c>
      <c r="P52" s="133">
        <f t="shared" si="12"/>
        <v>138909874</v>
      </c>
      <c r="Q52" s="133">
        <f t="shared" si="12"/>
        <v>173776916</v>
      </c>
      <c r="R52" s="133">
        <f t="shared" si="12"/>
        <v>7957557.5999999996</v>
      </c>
      <c r="S52" s="133">
        <f t="shared" si="12"/>
        <v>242678998.79999998</v>
      </c>
      <c r="T52" s="133">
        <f t="shared" si="12"/>
        <v>262232439.59999999</v>
      </c>
      <c r="U52" s="134">
        <f t="shared" si="12"/>
        <v>1071394464.0350877</v>
      </c>
    </row>
    <row r="53" spans="1:21">
      <c r="A53" s="153"/>
      <c r="B53" s="132" t="s">
        <v>181</v>
      </c>
      <c r="C53" s="133">
        <f>C45+C47+C51</f>
        <v>-4794602.9649122804</v>
      </c>
      <c r="D53" s="133">
        <f>D45+D47+D51</f>
        <v>-2081356.1999999997</v>
      </c>
      <c r="E53" s="133">
        <f>E45+E47+E51</f>
        <v>-1536604.8</v>
      </c>
      <c r="F53" s="133">
        <f>F45+F47+F51</f>
        <v>82257</v>
      </c>
      <c r="G53" s="133">
        <f>G45+G47+G51</f>
        <v>922728</v>
      </c>
      <c r="H53" s="133">
        <f>H45+H47+H51</f>
        <v>1559198.5999999999</v>
      </c>
      <c r="I53" s="133">
        <f>I45+I47+I51</f>
        <v>6507268.8000000017</v>
      </c>
      <c r="J53" s="133">
        <f>J45+J47+J51</f>
        <v>11904938.6</v>
      </c>
      <c r="K53" s="133">
        <f>K45+K47+K51</f>
        <v>20729808</v>
      </c>
      <c r="L53" s="133">
        <f>L45+L47+L51</f>
        <v>36049076.999999993</v>
      </c>
      <c r="M53" s="133">
        <f>M45+M47+M51</f>
        <v>65751945.600000001</v>
      </c>
      <c r="N53" s="133">
        <f>N45+N47+N51</f>
        <v>92311788.799999997</v>
      </c>
      <c r="O53" s="133">
        <f>O45+O47+O51</f>
        <v>18705231.600000001</v>
      </c>
      <c r="P53" s="133">
        <f>P45+P47+P51</f>
        <v>138909874</v>
      </c>
      <c r="Q53" s="133">
        <f>Q45+Q47+Q51</f>
        <v>173776916</v>
      </c>
      <c r="R53" s="133">
        <f>R45+R47+R51</f>
        <v>7957557.5999999996</v>
      </c>
      <c r="S53" s="133">
        <f>S45+S47+S51</f>
        <v>242678998.79999998</v>
      </c>
      <c r="T53" s="133">
        <f>T45+T47+T51</f>
        <v>262232439.59999999</v>
      </c>
      <c r="U53" s="134">
        <f>U45+U47+U51</f>
        <v>1071667464.0350877</v>
      </c>
    </row>
    <row r="54" spans="1:21">
      <c r="A54" s="153"/>
      <c r="B54" s="132" t="s">
        <v>182</v>
      </c>
      <c r="C54" s="133">
        <f>C45+C48+C51</f>
        <v>-4563977.9649122804</v>
      </c>
      <c r="D54" s="133">
        <f>D45+D48+D51</f>
        <v>-1758481.1999999997</v>
      </c>
      <c r="E54" s="133">
        <f>E45+E48+E51</f>
        <v>-1167604.8</v>
      </c>
      <c r="F54" s="133">
        <f>F45+F48+F51</f>
        <v>497382</v>
      </c>
      <c r="G54" s="133">
        <f>G45+G48+G51</f>
        <v>1383978</v>
      </c>
      <c r="H54" s="133">
        <f>H45+H48+H51</f>
        <v>2066573.5999999996</v>
      </c>
      <c r="I54" s="133">
        <f>I45+I48+I51</f>
        <v>7060768.8000000017</v>
      </c>
      <c r="J54" s="133">
        <f>J45+J48+J51</f>
        <v>12504563.6</v>
      </c>
      <c r="K54" s="133">
        <f>K45+K48+K51</f>
        <v>21375558</v>
      </c>
      <c r="L54" s="133">
        <f>L45+L48+L51</f>
        <v>36740951.999999993</v>
      </c>
      <c r="M54" s="133">
        <f>M45+M48+M51</f>
        <v>65751945.600000001</v>
      </c>
      <c r="N54" s="133">
        <f>N45+N48+N51</f>
        <v>92311788.799999997</v>
      </c>
      <c r="O54" s="133">
        <f>O45+O48+O51</f>
        <v>18705231.600000001</v>
      </c>
      <c r="P54" s="133">
        <f>P45+P48+P51</f>
        <v>138909874</v>
      </c>
      <c r="Q54" s="133">
        <f>Q45+Q48+Q51</f>
        <v>173776916</v>
      </c>
      <c r="R54" s="133">
        <f>R45+R48+R51</f>
        <v>7957557.5999999996</v>
      </c>
      <c r="S54" s="133">
        <f>S45+S48+S51</f>
        <v>242678998.79999998</v>
      </c>
      <c r="T54" s="133">
        <f>T45+T48+T51</f>
        <v>262232439.59999999</v>
      </c>
      <c r="U54" s="134">
        <f>U45+U48+U51</f>
        <v>1076464464.0350876</v>
      </c>
    </row>
    <row r="55" spans="1:21">
      <c r="A55" s="153"/>
      <c r="B55" s="132" t="s">
        <v>183</v>
      </c>
      <c r="C55" s="133">
        <f>C45+C49+C51</f>
        <v>-4322727.9649122804</v>
      </c>
      <c r="D55" s="133">
        <f>D45+D49+D51</f>
        <v>-1420731.1999999997</v>
      </c>
      <c r="E55" s="133">
        <f>E45+E49+E51</f>
        <v>-781604.8</v>
      </c>
      <c r="F55" s="133">
        <f>F45+F49+F51</f>
        <v>931632</v>
      </c>
      <c r="G55" s="133">
        <f>G45+G49+G51</f>
        <v>1866478</v>
      </c>
      <c r="H55" s="133">
        <f>H45+H49+H51</f>
        <v>2597323.5999999996</v>
      </c>
      <c r="I55" s="133">
        <f>I45+I49+I51</f>
        <v>7639768.8000000017</v>
      </c>
      <c r="J55" s="133">
        <f>J45+J49+J51</f>
        <v>13131813.6</v>
      </c>
      <c r="K55" s="133">
        <f>K45+K49+K51</f>
        <v>22051058</v>
      </c>
      <c r="L55" s="133">
        <f>L45+L49+L51</f>
        <v>37464701.999999993</v>
      </c>
      <c r="M55" s="133">
        <f>M45+M49+M51</f>
        <v>65751945.600000001</v>
      </c>
      <c r="N55" s="133">
        <f>N45+N49+N51</f>
        <v>92311788.799999997</v>
      </c>
      <c r="O55" s="133">
        <f>O45+O49+O51</f>
        <v>18705231.600000001</v>
      </c>
      <c r="P55" s="133">
        <f>P45+P49+P51</f>
        <v>138909874</v>
      </c>
      <c r="Q55" s="133">
        <f>Q45+Q49+Q51</f>
        <v>173776916</v>
      </c>
      <c r="R55" s="133">
        <f>R45+R49+R51</f>
        <v>7957557.5999999996</v>
      </c>
      <c r="S55" s="133">
        <f>S45+S49+S51</f>
        <v>242678998.79999998</v>
      </c>
      <c r="T55" s="133">
        <f>T45+T49+T51</f>
        <v>262232439.59999999</v>
      </c>
      <c r="U55" s="134">
        <f>U45+U49+U51</f>
        <v>1081482464.0350876</v>
      </c>
    </row>
    <row r="56" spans="1:21">
      <c r="A56" s="153"/>
      <c r="B56" s="132" t="s">
        <v>184</v>
      </c>
      <c r="C56" s="133">
        <f>C45+C50+C51</f>
        <v>-4360227.9649122804</v>
      </c>
      <c r="D56" s="133">
        <f>D45+D50+D51</f>
        <v>-1473231.1999999997</v>
      </c>
      <c r="E56" s="133">
        <f>E45+E50+E51</f>
        <v>-841604.8</v>
      </c>
      <c r="F56" s="133">
        <f>F45+F50+F51</f>
        <v>864132</v>
      </c>
      <c r="G56" s="133">
        <f>G45+G50+G51</f>
        <v>1791478</v>
      </c>
      <c r="H56" s="133">
        <f>H45+H50+H51</f>
        <v>2514823.5999999996</v>
      </c>
      <c r="I56" s="133">
        <f>I45+I50+I51</f>
        <v>7549768.8000000017</v>
      </c>
      <c r="J56" s="133">
        <f>J45+J50+J51</f>
        <v>13034313.6</v>
      </c>
      <c r="K56" s="133">
        <f>K45+K50+K51</f>
        <v>21946058</v>
      </c>
      <c r="L56" s="133">
        <f>L45+L50+L51</f>
        <v>37352201.999999993</v>
      </c>
      <c r="M56" s="133">
        <f>M45+M50+M51</f>
        <v>65751945.600000001</v>
      </c>
      <c r="N56" s="133">
        <f>N45+N50+N51</f>
        <v>92311788.799999997</v>
      </c>
      <c r="O56" s="133">
        <f>O45+O50+O51</f>
        <v>18705231.600000001</v>
      </c>
      <c r="P56" s="133">
        <f>P45+P50+P51</f>
        <v>138909874</v>
      </c>
      <c r="Q56" s="133">
        <f>Q45+Q50+Q51</f>
        <v>173776916</v>
      </c>
      <c r="R56" s="133">
        <f>R45+R50+R51</f>
        <v>7957557.5999999996</v>
      </c>
      <c r="S56" s="133">
        <f>S45+S50+S51</f>
        <v>242678998.79999998</v>
      </c>
      <c r="T56" s="133">
        <f>T45+T50+T51</f>
        <v>262232439.59999999</v>
      </c>
      <c r="U56" s="134">
        <f>U45+U50+U51</f>
        <v>1080702464.0350876</v>
      </c>
    </row>
    <row r="57" spans="1:21">
      <c r="A57" s="154" t="s">
        <v>107</v>
      </c>
      <c r="B57" s="135" t="s">
        <v>199</v>
      </c>
      <c r="C57" s="136">
        <f>C46+C51</f>
        <v>-3356174.2017543856</v>
      </c>
      <c r="D57" s="136">
        <f t="shared" ref="D57:U57" si="13">D46+D51</f>
        <v>-1638883.4</v>
      </c>
      <c r="E57" s="136">
        <f t="shared" si="13"/>
        <v>-924000</v>
      </c>
      <c r="F57" s="136">
        <f t="shared" si="13"/>
        <v>415039.19999999995</v>
      </c>
      <c r="G57" s="136">
        <f t="shared" si="13"/>
        <v>1292488</v>
      </c>
      <c r="H57" s="136">
        <f t="shared" si="13"/>
        <v>1965936.7999999998</v>
      </c>
      <c r="I57" s="136">
        <f t="shared" si="13"/>
        <v>4013385.600000001</v>
      </c>
      <c r="J57" s="136">
        <f t="shared" si="13"/>
        <v>6020834.4000000004</v>
      </c>
      <c r="K57" s="136">
        <f t="shared" si="13"/>
        <v>9252283.1999999993</v>
      </c>
      <c r="L57" s="136">
        <f t="shared" si="13"/>
        <v>14571732</v>
      </c>
      <c r="M57" s="136">
        <f t="shared" si="13"/>
        <v>25259180.800000001</v>
      </c>
      <c r="N57" s="136">
        <f t="shared" si="13"/>
        <v>34722629.600000001</v>
      </c>
      <c r="O57" s="136">
        <f t="shared" si="13"/>
        <v>8402078.4000000004</v>
      </c>
      <c r="P57" s="136">
        <f t="shared" si="13"/>
        <v>51289527.200000003</v>
      </c>
      <c r="Q57" s="136">
        <f t="shared" si="13"/>
        <v>64408976</v>
      </c>
      <c r="R57" s="136">
        <f t="shared" si="13"/>
        <v>3648424.8</v>
      </c>
      <c r="S57" s="136">
        <f t="shared" si="13"/>
        <v>87367873.599999994</v>
      </c>
      <c r="T57" s="136">
        <f t="shared" si="13"/>
        <v>94231322.400000006</v>
      </c>
      <c r="U57" s="137">
        <f t="shared" si="13"/>
        <v>400942654.39824563</v>
      </c>
    </row>
    <row r="58" spans="1:21" ht="15" customHeight="1">
      <c r="A58" s="154"/>
      <c r="B58" s="135" t="s">
        <v>181</v>
      </c>
      <c r="C58" s="136">
        <f>C46+C47+C51</f>
        <v>-3343049.2017543856</v>
      </c>
      <c r="D58" s="136">
        <f>D46+D47+D51</f>
        <v>-1620508.4</v>
      </c>
      <c r="E58" s="136">
        <f>E46+E47+E51</f>
        <v>-903000</v>
      </c>
      <c r="F58" s="136">
        <f>F46+F47+F51</f>
        <v>438664.19999999995</v>
      </c>
      <c r="G58" s="136">
        <f>G46+G47+G51</f>
        <v>1318738</v>
      </c>
      <c r="H58" s="136">
        <f>H46+H47+H51</f>
        <v>1994811.7999999998</v>
      </c>
      <c r="I58" s="136">
        <f>I46+I47+I51</f>
        <v>4044885.600000001</v>
      </c>
      <c r="J58" s="136">
        <f>J46+J47+J51</f>
        <v>6054959.4000000004</v>
      </c>
      <c r="K58" s="136">
        <f>K46+K47+K51</f>
        <v>9289033.1999999993</v>
      </c>
      <c r="L58" s="136">
        <f>L46+L47+L51</f>
        <v>14611107</v>
      </c>
      <c r="M58" s="136">
        <f>M46+M47+M51</f>
        <v>25259180.800000001</v>
      </c>
      <c r="N58" s="136">
        <f>N46+N47+N51</f>
        <v>34722629.600000001</v>
      </c>
      <c r="O58" s="136">
        <f>O46+O47+O51</f>
        <v>8402078.4000000004</v>
      </c>
      <c r="P58" s="136">
        <f>P46+P47+P51</f>
        <v>51289527.200000003</v>
      </c>
      <c r="Q58" s="136">
        <f>Q46+Q47+Q51</f>
        <v>64408976</v>
      </c>
      <c r="R58" s="136">
        <f>R46+R47+R51</f>
        <v>3648424.8</v>
      </c>
      <c r="S58" s="136">
        <f>S46+S47+S51</f>
        <v>87367873.599999994</v>
      </c>
      <c r="T58" s="136">
        <f>T46+T47+T51</f>
        <v>94231322.400000006</v>
      </c>
      <c r="U58" s="137">
        <f>U46+U47+U51</f>
        <v>401215654.39824563</v>
      </c>
    </row>
    <row r="59" spans="1:21">
      <c r="A59" s="154"/>
      <c r="B59" s="135" t="s">
        <v>182</v>
      </c>
      <c r="C59" s="136">
        <f>C46+C48+C51</f>
        <v>-3112424.2017543856</v>
      </c>
      <c r="D59" s="136">
        <f>D46+D48+D51</f>
        <v>-1297633.3999999999</v>
      </c>
      <c r="E59" s="136">
        <f>E46+E48+E51</f>
        <v>-534000</v>
      </c>
      <c r="F59" s="136">
        <f>F46+F48+F51</f>
        <v>853789.2</v>
      </c>
      <c r="G59" s="136">
        <f>G46+G48+G51</f>
        <v>1779988</v>
      </c>
      <c r="H59" s="136">
        <f>H46+H48+H51</f>
        <v>2502186.7999999998</v>
      </c>
      <c r="I59" s="136">
        <f>I46+I48+I51</f>
        <v>4598385.6000000015</v>
      </c>
      <c r="J59" s="136">
        <f>J46+J48+J51</f>
        <v>6654584.4000000004</v>
      </c>
      <c r="K59" s="136">
        <f>K46+K48+K51</f>
        <v>9934783.1999999993</v>
      </c>
      <c r="L59" s="136">
        <f>L46+L48+L51</f>
        <v>15302982</v>
      </c>
      <c r="M59" s="136">
        <f>M46+M48+M51</f>
        <v>25259180.800000001</v>
      </c>
      <c r="N59" s="136">
        <f>N46+N48+N51</f>
        <v>34722629.600000001</v>
      </c>
      <c r="O59" s="136">
        <f>O46+O48+O51</f>
        <v>8402078.4000000004</v>
      </c>
      <c r="P59" s="136">
        <f>P46+P48+P51</f>
        <v>51289527.200000003</v>
      </c>
      <c r="Q59" s="136">
        <f>Q46+Q48+Q51</f>
        <v>64408976</v>
      </c>
      <c r="R59" s="136">
        <f>R46+R48+R51</f>
        <v>3648424.8</v>
      </c>
      <c r="S59" s="136">
        <f>S46+S48+S51</f>
        <v>87367873.599999994</v>
      </c>
      <c r="T59" s="136">
        <f>T46+T48+T51</f>
        <v>94231322.400000006</v>
      </c>
      <c r="U59" s="137">
        <f>U46+U48+U51</f>
        <v>406012654.39824563</v>
      </c>
    </row>
    <row r="60" spans="1:21">
      <c r="A60" s="154"/>
      <c r="B60" s="135" t="s">
        <v>183</v>
      </c>
      <c r="C60" s="136">
        <f>C46+C49+C51</f>
        <v>-2871174.2017543856</v>
      </c>
      <c r="D60" s="136">
        <f>D46+D49+D51</f>
        <v>-959883.39999999991</v>
      </c>
      <c r="E60" s="136">
        <f>E46+E49+E51</f>
        <v>-148000</v>
      </c>
      <c r="F60" s="136">
        <f>F46+F49+F51</f>
        <v>1288039.2</v>
      </c>
      <c r="G60" s="136">
        <f>G46+G49+G51</f>
        <v>2262488</v>
      </c>
      <c r="H60" s="136">
        <f>H46+H49+H51</f>
        <v>3032936.8</v>
      </c>
      <c r="I60" s="136">
        <f>I46+I49+I51</f>
        <v>5177385.6000000015</v>
      </c>
      <c r="J60" s="136">
        <f>J46+J49+J51</f>
        <v>7281834.4000000004</v>
      </c>
      <c r="K60" s="136">
        <f>K46+K49+K51</f>
        <v>10610283.199999999</v>
      </c>
      <c r="L60" s="136">
        <f>L46+L49+L51</f>
        <v>16026732</v>
      </c>
      <c r="M60" s="136">
        <f>M46+M49+M51</f>
        <v>25259180.800000001</v>
      </c>
      <c r="N60" s="136">
        <f>N46+N49+N51</f>
        <v>34722629.600000001</v>
      </c>
      <c r="O60" s="136">
        <f>O46+O49+O51</f>
        <v>8402078.4000000004</v>
      </c>
      <c r="P60" s="136">
        <f>P46+P49+P51</f>
        <v>51289527.200000003</v>
      </c>
      <c r="Q60" s="136">
        <f>Q46+Q49+Q51</f>
        <v>64408976</v>
      </c>
      <c r="R60" s="136">
        <f>R46+R49+R51</f>
        <v>3648424.8</v>
      </c>
      <c r="S60" s="136">
        <f>S46+S49+S51</f>
        <v>87367873.599999994</v>
      </c>
      <c r="T60" s="136">
        <f>T46+T49+T51</f>
        <v>94231322.400000006</v>
      </c>
      <c r="U60" s="137">
        <f>U46+U49+U51</f>
        <v>411030654.39824563</v>
      </c>
    </row>
    <row r="61" spans="1:21">
      <c r="A61" s="154"/>
      <c r="B61" s="135" t="s">
        <v>184</v>
      </c>
      <c r="C61" s="136">
        <f>C46+C50+C51</f>
        <v>-2908674.2017543856</v>
      </c>
      <c r="D61" s="136">
        <f>D46+D50+D51</f>
        <v>-1012383.3999999999</v>
      </c>
      <c r="E61" s="136">
        <f>E46+E50+E51</f>
        <v>-208000</v>
      </c>
      <c r="F61" s="136">
        <f>F46+F50+F51</f>
        <v>1220539.2</v>
      </c>
      <c r="G61" s="136">
        <f>G46+G50+G51</f>
        <v>2187488</v>
      </c>
      <c r="H61" s="136">
        <f>H46+H50+H51</f>
        <v>2950436.8</v>
      </c>
      <c r="I61" s="136">
        <f>I46+I50+I51</f>
        <v>5087385.6000000015</v>
      </c>
      <c r="J61" s="136">
        <f>J46+J50+J51</f>
        <v>7184334.4000000004</v>
      </c>
      <c r="K61" s="136">
        <f>K46+K50+K51</f>
        <v>10505283.199999999</v>
      </c>
      <c r="L61" s="136">
        <f>L46+L50+L51</f>
        <v>15914232</v>
      </c>
      <c r="M61" s="136">
        <f>M46+M50+M51</f>
        <v>25259180.800000001</v>
      </c>
      <c r="N61" s="136">
        <f>N46+N50+N51</f>
        <v>34722629.600000001</v>
      </c>
      <c r="O61" s="136">
        <f>O46+O50+O51</f>
        <v>8402078.4000000004</v>
      </c>
      <c r="P61" s="136">
        <f>P46+P50+P51</f>
        <v>51289527.200000003</v>
      </c>
      <c r="Q61" s="136">
        <f>Q46+Q50+Q51</f>
        <v>64408976</v>
      </c>
      <c r="R61" s="136">
        <f>R46+R50+R51</f>
        <v>3648424.8</v>
      </c>
      <c r="S61" s="136">
        <f>S46+S50+S51</f>
        <v>87367873.599999994</v>
      </c>
      <c r="T61" s="136">
        <f>T46+T50+T51</f>
        <v>94231322.400000006</v>
      </c>
      <c r="U61" s="137">
        <f>U46+U50+U51</f>
        <v>410250654.39824563</v>
      </c>
    </row>
    <row r="62" spans="1:21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>
      <c r="B63" s="104" t="s">
        <v>179</v>
      </c>
      <c r="C63" s="100" t="s">
        <v>13</v>
      </c>
    </row>
    <row r="64" spans="1:21">
      <c r="C64" s="78">
        <v>1</v>
      </c>
      <c r="D64" s="78">
        <v>2</v>
      </c>
      <c r="E64" s="78">
        <v>3</v>
      </c>
      <c r="F64" s="78">
        <v>4</v>
      </c>
      <c r="G64" s="78">
        <v>5</v>
      </c>
      <c r="H64" s="78">
        <v>6</v>
      </c>
      <c r="I64" s="102">
        <v>7</v>
      </c>
      <c r="J64" s="78">
        <v>8</v>
      </c>
      <c r="K64" s="78">
        <v>9</v>
      </c>
      <c r="L64" s="78">
        <v>10</v>
      </c>
      <c r="M64" s="78">
        <v>11</v>
      </c>
      <c r="N64" s="78">
        <v>12</v>
      </c>
      <c r="O64" s="78">
        <v>13</v>
      </c>
      <c r="P64" s="78">
        <v>14</v>
      </c>
      <c r="Q64" s="78">
        <v>15</v>
      </c>
      <c r="R64" s="78">
        <v>16</v>
      </c>
      <c r="S64" s="78">
        <v>17</v>
      </c>
      <c r="T64" s="78">
        <v>18</v>
      </c>
      <c r="U64" s="7" t="s">
        <v>180</v>
      </c>
    </row>
    <row r="65" spans="1:21">
      <c r="B65" s="105" t="s">
        <v>166</v>
      </c>
      <c r="C65" s="121">
        <f>C45/C25</f>
        <v>-1</v>
      </c>
      <c r="D65" s="121">
        <f>D45/D25</f>
        <v>-1</v>
      </c>
      <c r="E65" s="121">
        <f>E45/E25</f>
        <v>-1</v>
      </c>
      <c r="F65" s="121">
        <f>F45/F25</f>
        <v>-1</v>
      </c>
      <c r="G65" s="121">
        <f>G45/G25</f>
        <v>-1</v>
      </c>
      <c r="H65" s="121">
        <f>H45/H25</f>
        <v>-1</v>
      </c>
      <c r="I65" s="122">
        <f>I45/I25</f>
        <v>2.2784457687559301</v>
      </c>
      <c r="J65" s="121">
        <f>J45/J25</f>
        <v>5.5568802473982544</v>
      </c>
      <c r="K65" s="121">
        <f>K45/K25</f>
        <v>10.474520675316178</v>
      </c>
      <c r="L65" s="121">
        <f>L45/L25</f>
        <v>15.302160778348261</v>
      </c>
      <c r="M65" s="121">
        <f>M45/M25</f>
        <v>27.528740651314919</v>
      </c>
      <c r="N65" s="121">
        <f>N45/N25</f>
        <v>34.984275778651345</v>
      </c>
      <c r="O65" s="121">
        <f>O45/O25</f>
        <v>5.0965535260749339</v>
      </c>
      <c r="P65" s="121">
        <f>P45/P25</f>
        <v>43.075685027474201</v>
      </c>
      <c r="Q65" s="121">
        <f>Q45/Q25</f>
        <v>72.764013699031111</v>
      </c>
      <c r="R65" s="121">
        <f>R45/R25</f>
        <v>0.61250436155328869</v>
      </c>
      <c r="S65" s="121">
        <f>S45/S25</f>
        <v>44.230358141931376</v>
      </c>
      <c r="T65" s="121">
        <f>T45/T25</f>
        <v>44.30550281017851</v>
      </c>
      <c r="U65" s="123">
        <f>U45/U25</f>
        <v>21.359929905016173</v>
      </c>
    </row>
    <row r="66" spans="1:21">
      <c r="B66" s="105" t="s">
        <v>167</v>
      </c>
      <c r="C66" s="124">
        <f>C46/C26</f>
        <v>-1</v>
      </c>
      <c r="D66" s="124">
        <f>D46/D26</f>
        <v>-1</v>
      </c>
      <c r="E66" s="124">
        <f>E46/E26</f>
        <v>-1</v>
      </c>
      <c r="F66" s="124">
        <f>F46/F26</f>
        <v>-1</v>
      </c>
      <c r="G66" s="124">
        <f>G46/G26</f>
        <v>-1</v>
      </c>
      <c r="H66" s="124">
        <f>H46/H26</f>
        <v>-1</v>
      </c>
      <c r="I66" s="125">
        <f>I46/I26</f>
        <v>0.77658874060759331</v>
      </c>
      <c r="J66" s="124">
        <f>J46/J26</f>
        <v>2.5531774812151866</v>
      </c>
      <c r="K66" s="124">
        <f>K46/K26</f>
        <v>5.2180605921265757</v>
      </c>
      <c r="L66" s="124">
        <f>L46/L26</f>
        <v>7.115268639260397</v>
      </c>
      <c r="M66" s="124">
        <f>M46/M26</f>
        <v>13.201720118705692</v>
      </c>
      <c r="N66" s="124">
        <f>N46/N26</f>
        <v>16.540110104724771</v>
      </c>
      <c r="O66" s="124">
        <f>O46/O26</f>
        <v>1.9171728819608891</v>
      </c>
      <c r="P66" s="124">
        <f>P46/P26</f>
        <v>19.746488191201689</v>
      </c>
      <c r="Q66" s="124">
        <f>Q46/Q26</f>
        <v>38.973246663670849</v>
      </c>
      <c r="R66" s="124">
        <f>R46/R26</f>
        <v>-0.30806833028747727</v>
      </c>
      <c r="S66" s="124">
        <f>S46/S26</f>
        <v>18.281236189276814</v>
      </c>
      <c r="T66" s="124">
        <f>T46/T26</f>
        <v>18.195375043754165</v>
      </c>
      <c r="U66" s="126">
        <f>U46/U26</f>
        <v>9.7017866622566871</v>
      </c>
    </row>
    <row r="67" spans="1:21">
      <c r="B67" s="107" t="s">
        <v>119</v>
      </c>
      <c r="C67" s="118">
        <f>C47/C27</f>
        <v>3.0042918454935622E-2</v>
      </c>
      <c r="D67" s="118">
        <f>D47/D27</f>
        <v>3.0042918454935622E-2</v>
      </c>
      <c r="E67" s="118">
        <f>E47/E27</f>
        <v>3.0042918454935622E-2</v>
      </c>
      <c r="F67" s="118">
        <f>F47/F27</f>
        <v>3.0042918454935622E-2</v>
      </c>
      <c r="G67" s="118">
        <f>G47/G27</f>
        <v>3.0042918454935622E-2</v>
      </c>
      <c r="H67" s="118">
        <f>H47/H27</f>
        <v>3.0042918454935619E-2</v>
      </c>
      <c r="I67" s="118">
        <f>I47/I27</f>
        <v>3.004291845493573E-2</v>
      </c>
      <c r="J67" s="118">
        <f>J47/J27</f>
        <v>3.0042918454935622E-2</v>
      </c>
      <c r="K67" s="118">
        <f>K47/K27</f>
        <v>3.0042918454935622E-2</v>
      </c>
      <c r="L67" s="118">
        <f>L47/L27</f>
        <v>3.0042918454935622E-2</v>
      </c>
      <c r="M67" s="118"/>
      <c r="N67" s="118"/>
      <c r="O67" s="118"/>
      <c r="P67" s="118"/>
      <c r="Q67" s="118"/>
      <c r="R67" s="118"/>
      <c r="S67" s="118"/>
      <c r="T67" s="118"/>
      <c r="U67" s="118">
        <f>U47/U27</f>
        <v>3.0042918454935636E-2</v>
      </c>
    </row>
    <row r="68" spans="1:21">
      <c r="B68" s="107" t="s">
        <v>120</v>
      </c>
      <c r="C68" s="118">
        <f>C48/C28</f>
        <v>0.37142857142857144</v>
      </c>
      <c r="D68" s="118">
        <f>D48/D28</f>
        <v>0.37142857142857161</v>
      </c>
      <c r="E68" s="118">
        <f>E48/E28</f>
        <v>0.37142857142857144</v>
      </c>
      <c r="F68" s="118">
        <f>F48/F28</f>
        <v>0.37142857142857144</v>
      </c>
      <c r="G68" s="118">
        <f>G48/G28</f>
        <v>0.37142857142857144</v>
      </c>
      <c r="H68" s="118">
        <f>H48/H28</f>
        <v>0.37142857142857122</v>
      </c>
      <c r="I68" s="118">
        <f>I48/I28</f>
        <v>0.3714285714285715</v>
      </c>
      <c r="J68" s="118">
        <f>J48/J28</f>
        <v>0.37142857142857144</v>
      </c>
      <c r="K68" s="118">
        <f>K48/K28</f>
        <v>0.37142857142857161</v>
      </c>
      <c r="L68" s="118">
        <f>L48/L28</f>
        <v>0.37142857142857144</v>
      </c>
      <c r="M68" s="118"/>
      <c r="N68" s="118"/>
      <c r="O68" s="118"/>
      <c r="P68" s="118"/>
      <c r="Q68" s="118"/>
      <c r="R68" s="118"/>
      <c r="S68" s="118"/>
      <c r="T68" s="118"/>
      <c r="U68" s="118">
        <f>U48/U28</f>
        <v>0.37142857142857144</v>
      </c>
    </row>
    <row r="69" spans="1:21">
      <c r="B69" s="107" t="s">
        <v>121</v>
      </c>
      <c r="C69" s="118">
        <f>C49/C29</f>
        <v>0.7578125</v>
      </c>
      <c r="D69" s="118">
        <f>D49/D29</f>
        <v>0.7578125</v>
      </c>
      <c r="E69" s="118">
        <f>E49/E29</f>
        <v>0.7578125</v>
      </c>
      <c r="F69" s="118">
        <f>F49/F29</f>
        <v>0.7578125</v>
      </c>
      <c r="G69" s="118">
        <f>G49/G29</f>
        <v>0.7578125</v>
      </c>
      <c r="H69" s="118">
        <f>H49/H29</f>
        <v>0.7578125</v>
      </c>
      <c r="I69" s="118">
        <f>I49/I29</f>
        <v>0.7578125</v>
      </c>
      <c r="J69" s="118">
        <f>J49/J29</f>
        <v>0.7578125</v>
      </c>
      <c r="K69" s="118">
        <f>K49/K29</f>
        <v>0.7578125</v>
      </c>
      <c r="L69" s="118">
        <f>L49/L29</f>
        <v>0.7578125</v>
      </c>
      <c r="M69" s="118"/>
      <c r="N69" s="118"/>
      <c r="O69" s="118"/>
      <c r="P69" s="118"/>
      <c r="Q69" s="118"/>
      <c r="R69" s="118"/>
      <c r="S69" s="118"/>
      <c r="T69" s="118"/>
      <c r="U69" s="118">
        <f>U49/U29</f>
        <v>0.7578125</v>
      </c>
    </row>
    <row r="70" spans="1:21">
      <c r="B70" s="107" t="s">
        <v>122</v>
      </c>
      <c r="C70" s="118">
        <f>C50/C30</f>
        <v>0.91326530612244894</v>
      </c>
      <c r="D70" s="118">
        <f>D50/D30</f>
        <v>0.91326530612244894</v>
      </c>
      <c r="E70" s="118">
        <f>E50/E30</f>
        <v>0.91326530612244894</v>
      </c>
      <c r="F70" s="118">
        <f>F50/F30</f>
        <v>0.91326530612244894</v>
      </c>
      <c r="G70" s="118">
        <f>G50/G30</f>
        <v>0.91326530612244894</v>
      </c>
      <c r="H70" s="118">
        <f>H50/H30</f>
        <v>0.91326530612244894</v>
      </c>
      <c r="I70" s="118">
        <f>I50/I30</f>
        <v>0.91326530612244905</v>
      </c>
      <c r="J70" s="118">
        <f>J50/J30</f>
        <v>0.91326530612244894</v>
      </c>
      <c r="K70" s="118">
        <f>K50/K30</f>
        <v>0.91326530612244894</v>
      </c>
      <c r="L70" s="118">
        <f>L50/L30</f>
        <v>0.91326530612244894</v>
      </c>
      <c r="M70" s="118"/>
      <c r="N70" s="118"/>
      <c r="O70" s="118"/>
      <c r="P70" s="118"/>
      <c r="Q70" s="118"/>
      <c r="R70" s="118"/>
      <c r="S70" s="118"/>
      <c r="T70" s="118"/>
      <c r="U70" s="118">
        <f>U50/U30</f>
        <v>0.36530612244897959</v>
      </c>
    </row>
    <row r="71" spans="1:21">
      <c r="B71" s="109" t="s">
        <v>151</v>
      </c>
      <c r="C71" s="121">
        <f>C51/C31</f>
        <v>-1</v>
      </c>
      <c r="D71" s="121"/>
      <c r="E71" s="121"/>
      <c r="F71" s="121">
        <f>F51/F31</f>
        <v>1.7692307692307692</v>
      </c>
      <c r="G71" s="121">
        <f>G51/G31</f>
        <v>1.5806451612903225</v>
      </c>
      <c r="H71" s="121">
        <f>H51/H31</f>
        <v>1.4444444444444444</v>
      </c>
      <c r="I71" s="121">
        <f>I51/I31</f>
        <v>1.3414634146341466</v>
      </c>
      <c r="J71" s="121">
        <f>J51/J31</f>
        <v>1.2608695652173914</v>
      </c>
      <c r="K71" s="121">
        <f>K51/K31</f>
        <v>1.196078431372549</v>
      </c>
      <c r="L71" s="121">
        <f>L51/L31</f>
        <v>1.1428571428571428</v>
      </c>
      <c r="M71" s="121">
        <f>M51/M31</f>
        <v>1.098360655737705</v>
      </c>
      <c r="N71" s="121">
        <f>N51/N31</f>
        <v>1.0606060606060608</v>
      </c>
      <c r="O71" s="121">
        <f>O51/O31</f>
        <v>1.028169014084507</v>
      </c>
      <c r="P71" s="121">
        <f>P51/P31</f>
        <v>1.0000000000000004</v>
      </c>
      <c r="Q71" s="121">
        <f>Q51/Q31</f>
        <v>0.97530864197530864</v>
      </c>
      <c r="R71" s="121">
        <f>R51/R31</f>
        <v>0.95348837209302328</v>
      </c>
      <c r="S71" s="121">
        <f>S51/S31</f>
        <v>0.93406593406593408</v>
      </c>
      <c r="T71" s="121">
        <f>T51/T31</f>
        <v>0.91666666666666663</v>
      </c>
      <c r="U71" s="121">
        <f>U51/U31</f>
        <v>1.0705530083278749</v>
      </c>
    </row>
    <row r="72" spans="1:21">
      <c r="A72" s="153" t="s">
        <v>101</v>
      </c>
      <c r="B72" s="132" t="s">
        <v>199</v>
      </c>
      <c r="C72" s="138">
        <f>C52/C32</f>
        <v>-1</v>
      </c>
      <c r="D72" s="138">
        <f t="shared" ref="D72:U72" si="14">D52/D32</f>
        <v>-1</v>
      </c>
      <c r="E72" s="138">
        <f t="shared" si="14"/>
        <v>-1</v>
      </c>
      <c r="F72" s="138">
        <f t="shared" si="14"/>
        <v>3.5122273818594819E-2</v>
      </c>
      <c r="G72" s="138">
        <f t="shared" si="14"/>
        <v>0.36390095156446745</v>
      </c>
      <c r="H72" s="138">
        <f t="shared" si="14"/>
        <v>0.47500847695317872</v>
      </c>
      <c r="I72" s="138">
        <f t="shared" si="14"/>
        <v>1.6803457297247479</v>
      </c>
      <c r="J72" s="138">
        <f t="shared" si="14"/>
        <v>2.780058877939283</v>
      </c>
      <c r="K72" s="138">
        <f t="shared" si="14"/>
        <v>4.4157983262137597</v>
      </c>
      <c r="L72" s="138">
        <f t="shared" si="14"/>
        <v>6.5924089092173279</v>
      </c>
      <c r="M72" s="138">
        <f t="shared" si="14"/>
        <v>11.139763417740253</v>
      </c>
      <c r="N72" s="138">
        <f t="shared" si="14"/>
        <v>14.24870021525601</v>
      </c>
      <c r="O72" s="138">
        <f t="shared" si="14"/>
        <v>2.6454312377138529</v>
      </c>
      <c r="P72" s="138">
        <f t="shared" si="14"/>
        <v>18.089752915967676</v>
      </c>
      <c r="Q72" s="138">
        <f t="shared" si="14"/>
        <v>24.192521763632445</v>
      </c>
      <c r="R72" s="138">
        <f t="shared" si="14"/>
        <v>0.78637879057032956</v>
      </c>
      <c r="S72" s="138">
        <f t="shared" si="14"/>
        <v>22.405134323710584</v>
      </c>
      <c r="T72" s="138">
        <f t="shared" si="14"/>
        <v>22.685329763924244</v>
      </c>
      <c r="U72" s="140">
        <f t="shared" si="14"/>
        <v>10.616702444375123</v>
      </c>
    </row>
    <row r="73" spans="1:21">
      <c r="A73" s="153"/>
      <c r="B73" s="132" t="s">
        <v>181</v>
      </c>
      <c r="C73" s="138">
        <f>C53/C33</f>
        <v>-0.91419750875126038</v>
      </c>
      <c r="D73" s="138">
        <f>D53/D33</f>
        <v>-0.76764395618694437</v>
      </c>
      <c r="E73" s="138">
        <f>E53/E33</f>
        <v>-0.68093659997532585</v>
      </c>
      <c r="F73" s="138">
        <f>F53/F33</f>
        <v>3.3495768897641165E-2</v>
      </c>
      <c r="G73" s="138">
        <f>G53/G33</f>
        <v>0.27649169741033996</v>
      </c>
      <c r="H73" s="138">
        <f>H53/H33</f>
        <v>0.37276419578515002</v>
      </c>
      <c r="I73" s="138">
        <f>I53/I33</f>
        <v>1.327382531804461</v>
      </c>
      <c r="J73" s="138">
        <f>J53/J33</f>
        <v>2.202227863259683</v>
      </c>
      <c r="K73" s="138">
        <f>K53/K33</f>
        <v>3.5079426106780529</v>
      </c>
      <c r="L73" s="138">
        <f>L53/L33</f>
        <v>5.3225286925600646</v>
      </c>
      <c r="M73" s="138">
        <f>M53/M33</f>
        <v>11.139763417740253</v>
      </c>
      <c r="N73" s="138">
        <f>N53/N33</f>
        <v>14.24870021525601</v>
      </c>
      <c r="O73" s="138">
        <f>O53/O33</f>
        <v>2.6454312377138529</v>
      </c>
      <c r="P73" s="138">
        <f>P53/P33</f>
        <v>18.089752915967676</v>
      </c>
      <c r="Q73" s="138">
        <f>Q53/Q33</f>
        <v>24.192521763632445</v>
      </c>
      <c r="R73" s="138">
        <f>R53/R33</f>
        <v>0.78637879057032956</v>
      </c>
      <c r="S73" s="138">
        <f>S53/S33</f>
        <v>22.405134323710584</v>
      </c>
      <c r="T73" s="138">
        <f>T53/T33</f>
        <v>22.685329763924244</v>
      </c>
      <c r="U73" s="140">
        <f>U53/U33</f>
        <v>9.7421714669226489</v>
      </c>
    </row>
    <row r="74" spans="1:21">
      <c r="A74" s="153"/>
      <c r="B74" s="132" t="s">
        <v>182</v>
      </c>
      <c r="C74" s="138">
        <f>C54/C34</f>
        <v>-0.83528484086512078</v>
      </c>
      <c r="D74" s="138">
        <f>D54/D34</f>
        <v>-0.58257152636895659</v>
      </c>
      <c r="E74" s="138">
        <f>E54/E34</f>
        <v>-0.44776907911812408</v>
      </c>
      <c r="F74" s="138">
        <f>F54/F34</f>
        <v>0.17448216492002785</v>
      </c>
      <c r="G74" s="138">
        <f>G54/G34</f>
        <v>0.3665174620274988</v>
      </c>
      <c r="H74" s="138">
        <f>H54/H34</f>
        <v>0.44295492476314696</v>
      </c>
      <c r="I74" s="138">
        <f>I54/I34</f>
        <v>1.300605699436741</v>
      </c>
      <c r="J74" s="138">
        <f>J54/J34</f>
        <v>2.0923810175916064</v>
      </c>
      <c r="K74" s="138">
        <f>K54/K34</f>
        <v>3.2766295268808436</v>
      </c>
      <c r="L74" s="138">
        <f>L54/L34</f>
        <v>4.9442490480481345</v>
      </c>
      <c r="M74" s="138">
        <f>M54/M34</f>
        <v>11.139763417740253</v>
      </c>
      <c r="N74" s="138">
        <f>N54/N34</f>
        <v>14.24870021525601</v>
      </c>
      <c r="O74" s="138">
        <f>O54/O34</f>
        <v>2.6454312377138529</v>
      </c>
      <c r="P74" s="138">
        <f>P54/P34</f>
        <v>18.089752915967676</v>
      </c>
      <c r="Q74" s="138">
        <f>Q54/Q34</f>
        <v>24.192521763632445</v>
      </c>
      <c r="R74" s="138">
        <f>R54/R34</f>
        <v>0.78637879057032956</v>
      </c>
      <c r="S74" s="138">
        <f>S54/S34</f>
        <v>22.405134323710584</v>
      </c>
      <c r="T74" s="138">
        <f>T54/T34</f>
        <v>22.685329763924244</v>
      </c>
      <c r="U74" s="140">
        <f>U54/U34</f>
        <v>9.3960255722501387</v>
      </c>
    </row>
    <row r="75" spans="1:21">
      <c r="A75" s="153"/>
      <c r="B75" s="132" t="s">
        <v>183</v>
      </c>
      <c r="C75" s="138">
        <f>C55/C35</f>
        <v>-0.79349189106983709</v>
      </c>
      <c r="D75" s="138">
        <f>D55/D35</f>
        <v>-0.47425189549716606</v>
      </c>
      <c r="E75" s="138">
        <f>E55/E35</f>
        <v>-0.30275927593565061</v>
      </c>
      <c r="F75" s="138">
        <f>F55/F35</f>
        <v>0.33020577251886318</v>
      </c>
      <c r="G75" s="138">
        <f>G55/G35</f>
        <v>0.49858876213362713</v>
      </c>
      <c r="H75" s="138">
        <f>H55/H35</f>
        <v>0.56101622998963807</v>
      </c>
      <c r="I75" s="138">
        <f>I55/I35</f>
        <v>1.4174411992716955</v>
      </c>
      <c r="J75" s="138">
        <f>J55/J35</f>
        <v>2.212983433868335</v>
      </c>
      <c r="K75" s="138">
        <f>K55/K35</f>
        <v>3.4039170490551149</v>
      </c>
      <c r="L75" s="138">
        <f>L55/L35</f>
        <v>5.0749376413685807</v>
      </c>
      <c r="M75" s="138">
        <f>M55/M35</f>
        <v>11.139763417740253</v>
      </c>
      <c r="N75" s="138">
        <f>N55/N35</f>
        <v>14.24870021525601</v>
      </c>
      <c r="O75" s="138">
        <f>O55/O35</f>
        <v>2.6454312377138529</v>
      </c>
      <c r="P75" s="138">
        <f>P55/P35</f>
        <v>18.089752915967676</v>
      </c>
      <c r="Q75" s="138">
        <f>Q55/Q35</f>
        <v>24.192521763632445</v>
      </c>
      <c r="R75" s="138">
        <f>R55/R35</f>
        <v>0.78637879057032956</v>
      </c>
      <c r="S75" s="138">
        <f>S55/S35</f>
        <v>22.405134323710584</v>
      </c>
      <c r="T75" s="138">
        <f>T55/T35</f>
        <v>22.685329763924244</v>
      </c>
      <c r="U75" s="140">
        <f>U55/U35</f>
        <v>9.4677580829902208</v>
      </c>
    </row>
    <row r="76" spans="1:21">
      <c r="A76" s="153"/>
      <c r="B76" s="132" t="s">
        <v>184</v>
      </c>
      <c r="C76" s="138">
        <f>C56/C36</f>
        <v>-0.8230373461587277</v>
      </c>
      <c r="D76" s="138">
        <f>D56/D36</f>
        <v>-0.52884901457829092</v>
      </c>
      <c r="E76" s="138">
        <f>E56/E36</f>
        <v>-0.35941368073724489</v>
      </c>
      <c r="F76" s="138">
        <f>F56/F36</f>
        <v>0.33869359496552437</v>
      </c>
      <c r="G76" s="138">
        <f>G56/G36</f>
        <v>0.52024584132176299</v>
      </c>
      <c r="H76" s="138">
        <f>H56/H36</f>
        <v>0.58488671380013613</v>
      </c>
      <c r="I76" s="138">
        <f>I56/I36</f>
        <v>1.5009984430491428</v>
      </c>
      <c r="J76" s="138">
        <f>J56/J36</f>
        <v>2.3510724340882221</v>
      </c>
      <c r="K76" s="138">
        <f>K56/K36</f>
        <v>3.6225723992603673</v>
      </c>
      <c r="L76" s="138">
        <f>L56/L36</f>
        <v>5.3881414215026524</v>
      </c>
      <c r="M76" s="138">
        <f>M56/M36</f>
        <v>8.8015992173113329</v>
      </c>
      <c r="N76" s="138">
        <f>N56/N36</f>
        <v>11.334093983516365</v>
      </c>
      <c r="O76" s="138">
        <f>O56/O36</f>
        <v>2.1172294227882649</v>
      </c>
      <c r="P76" s="138">
        <f>P56/P36</f>
        <v>14.559370233036081</v>
      </c>
      <c r="Q76" s="138">
        <f>Q56/Q36</f>
        <v>19.006378591731192</v>
      </c>
      <c r="R76" s="138">
        <f>R56/R36</f>
        <v>0.65347780216644114</v>
      </c>
      <c r="S76" s="138">
        <f>S56/S36</f>
        <v>18.685724346453547</v>
      </c>
      <c r="T76" s="138">
        <f>T56/T36</f>
        <v>18.983696600045274</v>
      </c>
      <c r="U76" s="140">
        <f>U56/U36</f>
        <v>8.5501361715861837</v>
      </c>
    </row>
    <row r="77" spans="1:21">
      <c r="A77" s="154" t="s">
        <v>107</v>
      </c>
      <c r="B77" s="135" t="s">
        <v>199</v>
      </c>
      <c r="C77" s="139">
        <f>C57/C37</f>
        <v>-1</v>
      </c>
      <c r="D77" s="139">
        <f t="shared" ref="D77:U77" si="15">D57/D37</f>
        <v>-1</v>
      </c>
      <c r="E77" s="139">
        <f t="shared" si="15"/>
        <v>-1</v>
      </c>
      <c r="F77" s="139">
        <f t="shared" si="15"/>
        <v>0.31610936137621165</v>
      </c>
      <c r="G77" s="139">
        <f t="shared" si="15"/>
        <v>0.62514171622704007</v>
      </c>
      <c r="H77" s="139">
        <f t="shared" si="15"/>
        <v>0.70563252118616682</v>
      </c>
      <c r="I77" s="139">
        <f t="shared" si="15"/>
        <v>1.1878791495117054</v>
      </c>
      <c r="J77" s="139">
        <f t="shared" si="15"/>
        <v>1.6033472398660662</v>
      </c>
      <c r="K77" s="139">
        <f t="shared" si="15"/>
        <v>2.2393314081933204</v>
      </c>
      <c r="L77" s="139">
        <f t="shared" si="15"/>
        <v>2.9932066188632178</v>
      </c>
      <c r="M77" s="139">
        <f t="shared" si="15"/>
        <v>4.7940876012598803</v>
      </c>
      <c r="N77" s="139">
        <f t="shared" si="15"/>
        <v>5.9811221692245509</v>
      </c>
      <c r="O77" s="139">
        <f t="shared" si="15"/>
        <v>1.3215133700296022</v>
      </c>
      <c r="P77" s="139">
        <f t="shared" si="15"/>
        <v>7.404855065625898</v>
      </c>
      <c r="Q77" s="139">
        <f t="shared" si="15"/>
        <v>10.078036946817912</v>
      </c>
      <c r="R77" s="139">
        <f t="shared" si="15"/>
        <v>0.39282856089283669</v>
      </c>
      <c r="S77" s="139">
        <f t="shared" si="15"/>
        <v>8.771763539065125</v>
      </c>
      <c r="T77" s="139">
        <f t="shared" si="15"/>
        <v>8.8491102782565232</v>
      </c>
      <c r="U77" s="141">
        <f t="shared" si="15"/>
        <v>4.511799866227383</v>
      </c>
    </row>
    <row r="78" spans="1:21" ht="15" customHeight="1">
      <c r="A78" s="154"/>
      <c r="B78" s="135" t="s">
        <v>181</v>
      </c>
      <c r="C78" s="139">
        <f>C58/C38</f>
        <v>-0.88136193967854071</v>
      </c>
      <c r="D78" s="139">
        <f>D58/D38</f>
        <v>-0.72006325326312937</v>
      </c>
      <c r="E78" s="139">
        <f>E58/E38</f>
        <v>-0.55637707948243997</v>
      </c>
      <c r="F78" s="139">
        <f>F58/F38</f>
        <v>0.20895380338867178</v>
      </c>
      <c r="G78" s="139">
        <f>G58/G38</f>
        <v>0.44835788175279861</v>
      </c>
      <c r="H78" s="139">
        <f>H58/H38</f>
        <v>0.53234897569329442</v>
      </c>
      <c r="I78" s="139">
        <f>I58/I38</f>
        <v>0.91366186516436099</v>
      </c>
      <c r="J78" s="139">
        <f>J58/J38</f>
        <v>1.2379695641864026</v>
      </c>
      <c r="K78" s="139">
        <f>K58/K38</f>
        <v>1.7346574772415022</v>
      </c>
      <c r="L78" s="139">
        <f>L58/L38</f>
        <v>2.3646803723579612</v>
      </c>
      <c r="M78" s="139">
        <f>M58/M38</f>
        <v>4.7940876012598803</v>
      </c>
      <c r="N78" s="139">
        <f>N58/N38</f>
        <v>5.9811221692245509</v>
      </c>
      <c r="O78" s="139">
        <f>O58/O38</f>
        <v>1.3215133700296022</v>
      </c>
      <c r="P78" s="139">
        <f>P58/P38</f>
        <v>7.404855065625898</v>
      </c>
      <c r="Q78" s="139">
        <f>Q58/Q38</f>
        <v>10.078036946817912</v>
      </c>
      <c r="R78" s="139">
        <f>R58/R38</f>
        <v>0.39282856089283669</v>
      </c>
      <c r="S78" s="139">
        <f>S58/S38</f>
        <v>8.771763539065125</v>
      </c>
      <c r="T78" s="139">
        <f>T58/T38</f>
        <v>8.8491102782565232</v>
      </c>
      <c r="U78" s="141">
        <f>U58/U38</f>
        <v>4.0960290632495031</v>
      </c>
    </row>
    <row r="79" spans="1:21">
      <c r="A79" s="154"/>
      <c r="B79" s="135" t="s">
        <v>182</v>
      </c>
      <c r="C79" s="139">
        <f>C59/C39</f>
        <v>-0.77569669737150782</v>
      </c>
      <c r="D79" s="139">
        <f>D59/D39</f>
        <v>-0.50735707470820479</v>
      </c>
      <c r="E79" s="139">
        <f>E59/E39</f>
        <v>-0.27051671732522797</v>
      </c>
      <c r="F79" s="139">
        <f>F59/F39</f>
        <v>0.34230835661524678</v>
      </c>
      <c r="G79" s="139">
        <f>G59/G39</f>
        <v>0.52662179897586159</v>
      </c>
      <c r="H79" s="139">
        <f>H59/H39</f>
        <v>0.59155964618011969</v>
      </c>
      <c r="I79" s="139">
        <f>I59/I39</f>
        <v>0.92828896815222461</v>
      </c>
      <c r="J79" s="139">
        <f>J59/J39</f>
        <v>1.2184724414673735</v>
      </c>
      <c r="K79" s="139">
        <f>K59/K39</f>
        <v>1.6643361320031129</v>
      </c>
      <c r="L79" s="139">
        <f>L59/L39</f>
        <v>2.2382538703276778</v>
      </c>
      <c r="M79" s="139">
        <f>M59/M39</f>
        <v>4.7940876012598803</v>
      </c>
      <c r="N79" s="139">
        <f>N59/N39</f>
        <v>5.9811221692245509</v>
      </c>
      <c r="O79" s="139">
        <f>O59/O39</f>
        <v>1.3215133700296022</v>
      </c>
      <c r="P79" s="139">
        <f>P59/P39</f>
        <v>7.404855065625898</v>
      </c>
      <c r="Q79" s="139">
        <f>Q59/Q39</f>
        <v>10.078036946817912</v>
      </c>
      <c r="R79" s="139">
        <f>R59/R39</f>
        <v>0.39282856089283669</v>
      </c>
      <c r="S79" s="139">
        <f>S59/S39</f>
        <v>8.771763539065125</v>
      </c>
      <c r="T79" s="139">
        <f>T59/T39</f>
        <v>8.8491102782565232</v>
      </c>
      <c r="U79" s="141">
        <f>U59/U39</f>
        <v>3.9605061273021485</v>
      </c>
    </row>
    <row r="80" spans="1:21">
      <c r="A80" s="154"/>
      <c r="B80" s="135" t="s">
        <v>183</v>
      </c>
      <c r="C80" s="139">
        <f>C60/C40</f>
        <v>-0.71848074102822979</v>
      </c>
      <c r="D80" s="139">
        <f>D60/D40</f>
        <v>-0.37866964610679921</v>
      </c>
      <c r="E80" s="139">
        <f>E60/E40</f>
        <v>-7.5975359342915813E-2</v>
      </c>
      <c r="F80" s="139">
        <f>F60/F40</f>
        <v>0.52253942537341769</v>
      </c>
      <c r="G80" s="139">
        <f>G60/G40</f>
        <v>0.67587151293258996</v>
      </c>
      <c r="H80" s="139">
        <f>H60/H40</f>
        <v>0.72314999926562851</v>
      </c>
      <c r="I80" s="139">
        <f>I60/I40</f>
        <v>1.0534673076284482</v>
      </c>
      <c r="J80" s="139">
        <f>J60/J40</f>
        <v>1.3437187451883739</v>
      </c>
      <c r="K80" s="139">
        <f>K60/K40</f>
        <v>1.7911530139320637</v>
      </c>
      <c r="L80" s="139">
        <f>L60/L40</f>
        <v>2.3609456786326057</v>
      </c>
      <c r="M80" s="139">
        <f>M60/M40</f>
        <v>4.7940876012598803</v>
      </c>
      <c r="N80" s="139">
        <f>N60/N40</f>
        <v>5.9811221692245509</v>
      </c>
      <c r="O80" s="139">
        <f>O60/O40</f>
        <v>1.3215133700296022</v>
      </c>
      <c r="P80" s="139">
        <f>P60/P40</f>
        <v>7.404855065625898</v>
      </c>
      <c r="Q80" s="139">
        <f>Q60/Q40</f>
        <v>10.078036946817912</v>
      </c>
      <c r="R80" s="139">
        <f>R60/R40</f>
        <v>0.39282856089283669</v>
      </c>
      <c r="S80" s="139">
        <f>S60/S40</f>
        <v>8.771763539065125</v>
      </c>
      <c r="T80" s="139">
        <f>T60/T40</f>
        <v>8.8491102782565232</v>
      </c>
      <c r="U80" s="141">
        <f>U60/U40</f>
        <v>4.0227180690353359</v>
      </c>
    </row>
    <row r="81" spans="1:21">
      <c r="A81" s="154"/>
      <c r="B81" s="135" t="s">
        <v>184</v>
      </c>
      <c r="C81" s="139">
        <f>C61/C41</f>
        <v>-0.75625129002935676</v>
      </c>
      <c r="D81" s="139">
        <f>D61/D41</f>
        <v>-0.43545555876049524</v>
      </c>
      <c r="E81" s="139">
        <f>E61/E41</f>
        <v>-0.12177985948477751</v>
      </c>
      <c r="F81" s="139">
        <f>F61/F41</f>
        <v>0.55606423586243547</v>
      </c>
      <c r="G81" s="139">
        <f>G61/G41</f>
        <v>0.71779471253927796</v>
      </c>
      <c r="H81" s="139">
        <f>H61/H41</f>
        <v>0.76355811157540066</v>
      </c>
      <c r="I81" s="139">
        <f>I61/I41</f>
        <v>1.1169739418555391</v>
      </c>
      <c r="J81" s="139">
        <f>J61/J41</f>
        <v>1.4285340693493969</v>
      </c>
      <c r="K81" s="139">
        <f>K61/K41</f>
        <v>1.9087615845350181</v>
      </c>
      <c r="L81" s="139">
        <f>L61/L41</f>
        <v>2.5108171506790185</v>
      </c>
      <c r="M81" s="139">
        <f>M61/M41</f>
        <v>3.6945807781489965</v>
      </c>
      <c r="N81" s="139">
        <f>N61/N41</f>
        <v>4.6474244671365774</v>
      </c>
      <c r="O81" s="139">
        <f>O61/O41</f>
        <v>1.0344939059741725</v>
      </c>
      <c r="P81" s="139">
        <f>P61/P41</f>
        <v>5.8359999930818471</v>
      </c>
      <c r="Q81" s="139">
        <f>Q61/Q41</f>
        <v>7.7127039749855824</v>
      </c>
      <c r="R81" s="139">
        <f>R61/R41</f>
        <v>0.32157248404646777</v>
      </c>
      <c r="S81" s="139">
        <f>S61/S41</f>
        <v>7.2108750532678494</v>
      </c>
      <c r="T81" s="139">
        <f>T61/T41</f>
        <v>7.3032377713599548</v>
      </c>
      <c r="U81" s="141">
        <f>U61/U41</f>
        <v>3.5878211941138352</v>
      </c>
    </row>
  </sheetData>
  <mergeCells count="6">
    <mergeCell ref="A32:A36"/>
    <mergeCell ref="A37:A41"/>
    <mergeCell ref="A52:A56"/>
    <mergeCell ref="A57:A61"/>
    <mergeCell ref="A77:A81"/>
    <mergeCell ref="A72:A7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описание</vt:lpstr>
      <vt:lpstr>параметры</vt:lpstr>
      <vt:lpstr>6х6</vt:lpstr>
      <vt:lpstr>10х10</vt:lpstr>
      <vt:lpstr>свод 6х6</vt:lpstr>
      <vt:lpstr>свод 10х10</vt:lpstr>
      <vt:lpstr>затраты культуры междурядье</vt:lpstr>
      <vt:lpstr>урожайность</vt:lpstr>
      <vt:lpstr>финплан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Davran</dc:creator>
  <cp:lastModifiedBy>Davran</cp:lastModifiedBy>
  <dcterms:created xsi:type="dcterms:W3CDTF">2014-08-03T07:09:23Z</dcterms:created>
  <dcterms:modified xsi:type="dcterms:W3CDTF">2014-08-04T23:50:57Z</dcterms:modified>
</cp:coreProperties>
</file>