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5" i="1"/>
  <c r="I45"/>
  <c r="I56"/>
  <c r="I61"/>
  <c r="I74"/>
  <c r="H35"/>
  <c r="F80" l="1"/>
  <c r="G80" s="1"/>
  <c r="I80" s="1"/>
  <c r="F60"/>
  <c r="G60" s="1"/>
  <c r="I60" s="1"/>
  <c r="F59"/>
  <c r="G59" s="1"/>
  <c r="I59" s="1"/>
  <c r="F58"/>
  <c r="G58" s="1"/>
  <c r="I58" s="1"/>
  <c r="G87"/>
  <c r="I87" s="1"/>
  <c r="G86"/>
  <c r="I86" s="1"/>
  <c r="G85"/>
  <c r="I85" s="1"/>
  <c r="G84"/>
  <c r="I84" s="1"/>
  <c r="G83"/>
  <c r="I83" s="1"/>
  <c r="G82"/>
  <c r="I82" s="1"/>
  <c r="G81"/>
  <c r="I81" s="1"/>
  <c r="G79"/>
  <c r="I79" s="1"/>
  <c r="G78"/>
  <c r="I78" s="1"/>
  <c r="G77"/>
  <c r="I77" s="1"/>
  <c r="G73"/>
  <c r="I73" s="1"/>
  <c r="G72"/>
  <c r="I72" s="1"/>
  <c r="G71"/>
  <c r="I71" s="1"/>
  <c r="G70"/>
  <c r="I70" s="1"/>
  <c r="G64"/>
  <c r="I64" s="1"/>
  <c r="G63"/>
  <c r="I63" s="1"/>
  <c r="F57"/>
  <c r="G57" s="1"/>
  <c r="I57" s="1"/>
  <c r="F54"/>
  <c r="G54" s="1"/>
  <c r="I54" s="1"/>
  <c r="F55"/>
  <c r="G55" s="1"/>
  <c r="I55" s="1"/>
  <c r="F53"/>
  <c r="G53" s="1"/>
  <c r="I53" s="1"/>
  <c r="F52"/>
  <c r="G52" s="1"/>
  <c r="I52" s="1"/>
  <c r="F51"/>
  <c r="G51" s="1"/>
  <c r="I51" s="1"/>
  <c r="F50"/>
  <c r="G50" s="1"/>
  <c r="I50" s="1"/>
  <c r="F49"/>
  <c r="G49" s="1"/>
  <c r="I49" s="1"/>
  <c r="F48"/>
  <c r="G48" s="1"/>
  <c r="I48" s="1"/>
  <c r="F47"/>
  <c r="G47" s="1"/>
  <c r="I47" s="1"/>
  <c r="F46"/>
  <c r="G46" s="1"/>
  <c r="I46" s="1"/>
  <c r="F38"/>
  <c r="G38" s="1"/>
  <c r="I38" s="1"/>
  <c r="F39"/>
  <c r="G39" s="1"/>
  <c r="I39" s="1"/>
  <c r="F40"/>
  <c r="G40" s="1"/>
  <c r="I40" s="1"/>
  <c r="F41"/>
  <c r="G41" s="1"/>
  <c r="I41" s="1"/>
  <c r="F42"/>
  <c r="G42" s="1"/>
  <c r="I42" s="1"/>
  <c r="F43"/>
  <c r="G43" s="1"/>
  <c r="I43" s="1"/>
  <c r="F44"/>
  <c r="G44" s="1"/>
  <c r="I44" s="1"/>
  <c r="F37"/>
  <c r="G37" s="1"/>
  <c r="G65"/>
  <c r="I65" s="1"/>
  <c r="L65"/>
  <c r="G66"/>
  <c r="I66" s="1"/>
  <c r="L66"/>
  <c r="G67"/>
  <c r="I67" s="1"/>
  <c r="L67"/>
  <c r="G68"/>
  <c r="I68" s="1"/>
  <c r="L68"/>
  <c r="G69"/>
  <c r="I69" s="1"/>
  <c r="L69"/>
  <c r="H36"/>
  <c r="I36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5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7"/>
  <c r="M57" s="1"/>
  <c r="L58"/>
  <c r="M58" s="1"/>
  <c r="L59"/>
  <c r="M59" s="1"/>
  <c r="L60"/>
  <c r="M60" s="1"/>
  <c r="M64"/>
  <c r="M71"/>
  <c r="M73"/>
  <c r="L96"/>
  <c r="L61"/>
  <c r="I5" l="1"/>
  <c r="I90" s="1"/>
  <c r="H90"/>
  <c r="H92" s="1"/>
  <c r="G90"/>
  <c r="I37"/>
  <c r="M69"/>
  <c r="M67"/>
  <c r="N73"/>
  <c r="M65"/>
  <c r="N72"/>
  <c r="M68"/>
  <c r="N59"/>
  <c r="N58"/>
  <c r="N71"/>
  <c r="N64"/>
  <c r="N60"/>
  <c r="N57"/>
  <c r="N54"/>
  <c r="N53"/>
  <c r="N50"/>
  <c r="N49"/>
  <c r="N52"/>
  <c r="N48"/>
  <c r="N55"/>
  <c r="N51"/>
  <c r="N47"/>
  <c r="N46"/>
  <c r="M66"/>
  <c r="N44"/>
  <c r="N40"/>
  <c r="N42"/>
  <c r="N37"/>
  <c r="N41"/>
  <c r="N43"/>
  <c r="N38"/>
  <c r="L95"/>
  <c r="N39"/>
  <c r="G91" l="1"/>
  <c r="I91" s="1"/>
  <c r="I92" s="1"/>
  <c r="M95"/>
  <c r="M96" s="1"/>
  <c r="G92" l="1"/>
  <c r="N95"/>
</calcChain>
</file>

<file path=xl/sharedStrings.xml><?xml version="1.0" encoding="utf-8"?>
<sst xmlns="http://schemas.openxmlformats.org/spreadsheetml/2006/main" count="235" uniqueCount="153">
  <si>
    <t>Финансирование</t>
  </si>
  <si>
    <t>Реальные расходы</t>
  </si>
  <si>
    <t>Разница</t>
  </si>
  <si>
    <t>Комментарии</t>
  </si>
  <si>
    <t>Мероприятие</t>
  </si>
  <si>
    <t>Действие</t>
  </si>
  <si>
    <t>Наименованием закупки</t>
  </si>
  <si>
    <t>Ед.изм.</t>
  </si>
  <si>
    <t>Количество</t>
  </si>
  <si>
    <t>Цена за ед., $</t>
  </si>
  <si>
    <t>ПМГ ГЭФ</t>
  </si>
  <si>
    <t>Другой источник (Заявитель)</t>
  </si>
  <si>
    <t>Общая сумма</t>
  </si>
  <si>
    <t>Кол-во</t>
  </si>
  <si>
    <t>Цена за ед</t>
  </si>
  <si>
    <t>Стоимость в узб сум</t>
  </si>
  <si>
    <t>долл США</t>
  </si>
  <si>
    <t>Мероприятие 1.1.</t>
  </si>
  <si>
    <t xml:space="preserve">Построить 12 железобетонных бассейнов (10 * 1,8 * 1.2) м </t>
  </si>
  <si>
    <t>Цемент 200</t>
  </si>
  <si>
    <t>Т</t>
  </si>
  <si>
    <t>Строительство бассейнов нагульного форелевого хозяйства по данному мероприятию будет полностью за счет Заявителя. Для этого на территории предприятия выделен отличный участок земли с возможностью подачи воды за счет гравитации. Склон участка земли обеспечит водоток без каких-либо насосов.</t>
  </si>
  <si>
    <t xml:space="preserve"> Строительство бассейнового хозяйства общим объемом 300 куб. м</t>
  </si>
  <si>
    <t>Песок  мытый речной</t>
  </si>
  <si>
    <t>Куб.м.</t>
  </si>
  <si>
    <t>Щебень фракции 10-15 мм</t>
  </si>
  <si>
    <t>Арматура d 10 мм</t>
  </si>
  <si>
    <t>П. м.</t>
  </si>
  <si>
    <t>Арматура d 12 мм</t>
  </si>
  <si>
    <t>Проволока обвязочная</t>
  </si>
  <si>
    <t>Кг</t>
  </si>
  <si>
    <t>Электроды d 4 мм</t>
  </si>
  <si>
    <t>Швеллер 50 мм</t>
  </si>
  <si>
    <t>Доски обрезные 40 мм</t>
  </si>
  <si>
    <t>Куб. м</t>
  </si>
  <si>
    <t>Гвозди строительные</t>
  </si>
  <si>
    <t>кг</t>
  </si>
  <si>
    <t>Щебень для подушки под бетон</t>
  </si>
  <si>
    <t>Ручное выравнивание и трамбовка основания</t>
  </si>
  <si>
    <t>Куб м</t>
  </si>
  <si>
    <t>Землекопные работы экскаваторами</t>
  </si>
  <si>
    <t>-</t>
  </si>
  <si>
    <t>Построить гравитационный отстойник 14,2 * 5 * 1,5 м. Основание из бетона, стенки из шлакоблоков со штукатуркой</t>
  </si>
  <si>
    <t>Цемент М200</t>
  </si>
  <si>
    <t>Песок мытый речной</t>
  </si>
  <si>
    <t>шлакоблоки</t>
  </si>
  <si>
    <t>Шт.</t>
  </si>
  <si>
    <t>П. м</t>
  </si>
  <si>
    <t>Жидкое стекло</t>
  </si>
  <si>
    <t>Зарплата наемных рабочих</t>
  </si>
  <si>
    <t>Построить систему ирригации и дренажа общей длиной 135 погонных метров с подачей воды от водозабора/ скважины по трубе длиной 40 м</t>
  </si>
  <si>
    <t>Цемент</t>
  </si>
  <si>
    <t>Щебень фракции 10 – 15 мм</t>
  </si>
  <si>
    <t>Цемент М 200</t>
  </si>
  <si>
    <t>т</t>
  </si>
  <si>
    <t>Металлическая сетка бетонная, ячея 20 * 20 см (из проволоки d 4 мм)</t>
  </si>
  <si>
    <t>Кв. м</t>
  </si>
  <si>
    <t>Труба стальная d 500 мм</t>
  </si>
  <si>
    <t>П.м.</t>
  </si>
  <si>
    <t>Отводы стальные d 500 мм</t>
  </si>
  <si>
    <t>Задвижка чугунная d 500 мм</t>
  </si>
  <si>
    <t xml:space="preserve">Шт. </t>
  </si>
  <si>
    <t>Швеллер металлический 200 мм</t>
  </si>
  <si>
    <t>Зарплата наемным рабочим</t>
  </si>
  <si>
    <t>Мероприятие 1.2. Создание рыбопитомника для инкубации икры (до 100 тысяч икринок) и выращивания из нее  личинок и мальков.</t>
  </si>
  <si>
    <t>Создание здания рыбопитомника и системы подачи и отвода воды</t>
  </si>
  <si>
    <t>Трубы стальные d 32 мм</t>
  </si>
  <si>
    <t>Будет использовано имеющееся здание и бассейн Заявителя. В настоящее время готово здание с крышей. Проект привязан к этому зданию, в котором осталось только осуществить запланированные мероприятия. Источник воды подведен к зданию. За счет ПМГ будут приобретены стройматериалы, из которых за счет Заявителя будет выполнено мероприятие.</t>
  </si>
  <si>
    <t>Вентили бронзовые d 32</t>
  </si>
  <si>
    <t>Резьба, муфта, контргайка в комплекте</t>
  </si>
  <si>
    <t>комплект</t>
  </si>
  <si>
    <t>Труба стальная d 100 мм</t>
  </si>
  <si>
    <t>Емкость металлическая для водонапорной башни, объем 10 куб.м</t>
  </si>
  <si>
    <t>Уголок 76 * 76 * 0,8 см</t>
  </si>
  <si>
    <t>Краска нитроэмаль</t>
  </si>
  <si>
    <t>Лист металлический закладной 20 * 20 см, толщина 10 мм</t>
  </si>
  <si>
    <t>Построить 8 горизонтальных лотков для инкубации икры размером 2,2 * 0,6 * 0,45 м. Лотки установлены на металлических стеллажах</t>
  </si>
  <si>
    <t>Доски обрезные, d 32 мм</t>
  </si>
  <si>
    <t>За счет ПМГ будут приобретены материалы, из которых за счет заказчика будут сделаны лотки для инкубации икринок, выдерживания личинок.</t>
  </si>
  <si>
    <t>Рейки соединительные «Таврико»</t>
  </si>
  <si>
    <t>Шурупы 50 мм</t>
  </si>
  <si>
    <t>Клей столярный</t>
  </si>
  <si>
    <t>Сифон для водоотвода</t>
  </si>
  <si>
    <t>Пленка полиэтиленовая для наружной обивки</t>
  </si>
  <si>
    <t>Уголок металлический, 40 мм, равнополый</t>
  </si>
  <si>
    <t>Диск отрезной</t>
  </si>
  <si>
    <t>Краска эмаль ПФ-115</t>
  </si>
  <si>
    <t>Построить металлические круглые  бассейны для выращивания мальков</t>
  </si>
  <si>
    <t>Лист металлический, толщина 2,8 мм, раскрой 1,25 * 2,5 м</t>
  </si>
  <si>
    <t>Материалы будут приобретены за счет ПМГ, бассейны будут сделаны и подключены к системе подачи и отвода воды за счет Заявителя.</t>
  </si>
  <si>
    <t>Отводы стальные d 32 мм</t>
  </si>
  <si>
    <t>Герметик силиконовый</t>
  </si>
  <si>
    <t>растворитель</t>
  </si>
  <si>
    <t>Мероприятие 2.1. Выращивание мальков (навеской 20 г)</t>
  </si>
  <si>
    <t>Приобретение икринок и получение из них мальков</t>
  </si>
  <si>
    <t xml:space="preserve">Икра оплодотворенная на стадии глазка </t>
  </si>
  <si>
    <t>Тыс. шт.</t>
  </si>
  <si>
    <t>Будет привезена икра оплодотворенная  «на стадии глазка»</t>
  </si>
  <si>
    <t>Комплектация оборудования</t>
  </si>
  <si>
    <t>Коптильный аппарат</t>
  </si>
  <si>
    <t>слайсер</t>
  </si>
  <si>
    <t>Вакуум-упаковщик</t>
  </si>
  <si>
    <t>Упаковочные материалы</t>
  </si>
  <si>
    <t>Строительства помещения для цеха переработки</t>
  </si>
  <si>
    <t>$</t>
  </si>
  <si>
    <t>Издание пособия</t>
  </si>
  <si>
    <t>договор</t>
  </si>
  <si>
    <t>5 дней</t>
  </si>
  <si>
    <t>Чел.</t>
  </si>
  <si>
    <t>Зарплата</t>
  </si>
  <si>
    <t>Обеспечить осуществление работ по проекту</t>
  </si>
  <si>
    <t>Рыбовод нагульного хозяйства</t>
  </si>
  <si>
    <t>Мес.</t>
  </si>
  <si>
    <t>Исследователь</t>
  </si>
  <si>
    <t>Услуги офиса ПРООН</t>
  </si>
  <si>
    <t>ИТОГО</t>
  </si>
  <si>
    <t>По бюджету</t>
  </si>
  <si>
    <t>Реальный расход</t>
  </si>
  <si>
    <t>Закупленное оборудование</t>
  </si>
  <si>
    <t>Остаток</t>
  </si>
  <si>
    <t>Мини-линия по производству экструдированных рыбных кормов, 100 кг/час и более</t>
  </si>
  <si>
    <t>Дробилка молотковая, производительность 200 кг/час, 1,1 кВт (Hummer mill)</t>
  </si>
  <si>
    <t>шт</t>
  </si>
  <si>
    <t>Миксер, производительность 25 кг/10 мин, 2,2 кВт (Stainless steel mixer)</t>
  </si>
  <si>
    <t>Экструдер со шнеком для производства рыбных кормов, производительность 150 кг./час, 11 кВт (Single screw fish pellet machine)</t>
  </si>
  <si>
    <t>Сушилка для гранулированных рыбных кормов, производительность 200 кг/час, 5 кВт (Dryer for fish pellet)</t>
  </si>
  <si>
    <t>Запасные части ждя экструдера - шнек, матрица, винтовая стяжная матрица (screw, cutter, screw, turnbuckle)</t>
  </si>
  <si>
    <t>Мероприятие 2.2. Создать кормоцех для производства сбалансированных кормов из местного сырья</t>
  </si>
  <si>
    <r>
      <t>Мероприятие</t>
    </r>
    <r>
      <rPr>
        <sz val="11"/>
        <rFont val="Arial Narrow"/>
        <family val="2"/>
        <charset val="204"/>
      </rPr>
      <t xml:space="preserve"> 3.</t>
    </r>
    <r>
      <rPr>
        <i/>
        <sz val="11"/>
        <rFont val="Arial Narrow"/>
        <family val="2"/>
        <charset val="204"/>
      </rPr>
      <t>1. Выпуск учебного пособия по бассейновому разведению радужной форели</t>
    </r>
  </si>
  <si>
    <t>Мероприятие 2.4. Маркетинг товарной форели – создание комплексного цеха хранения и переработки товарной форели</t>
  </si>
  <si>
    <t>Под-итог</t>
  </si>
  <si>
    <t>Инженер сделал расчет всех затрат на 1 шлакоблок по площади стен и вывел затраты на рабочую силу.</t>
  </si>
  <si>
    <t>Для ведения мониторинга, составления учебного пособия и работы в Интернере авторов учебного пособия</t>
  </si>
  <si>
    <t>шт.</t>
  </si>
  <si>
    <t>И.И.Халилов</t>
  </si>
  <si>
    <t>Б.Г.Камилов</t>
  </si>
  <si>
    <t xml:space="preserve">Оперативный контроль качества воды </t>
  </si>
  <si>
    <t>Переносной анализатор качества воды  по мультипараметрам (температура, растворенный кислород, общий аммонийный азот, рН, минерализация)</t>
  </si>
  <si>
    <t>Нетбук</t>
  </si>
  <si>
    <t>Бюджет</t>
  </si>
  <si>
    <t>Сетка антикомаринная из искусственного волокна</t>
  </si>
  <si>
    <t>Составление пособия и учебных материалов для семинаров</t>
  </si>
  <si>
    <t>Проведение экономического анализа рентабельности бизнеса</t>
  </si>
  <si>
    <t>Найм консультанта</t>
  </si>
  <si>
    <t>контракт</t>
  </si>
  <si>
    <t xml:space="preserve">Найм дизайнера </t>
  </si>
  <si>
    <t>Печать</t>
  </si>
  <si>
    <t xml:space="preserve">Александра Поварич </t>
  </si>
  <si>
    <t>Кофе брейк</t>
  </si>
  <si>
    <t>Семинар № 1</t>
  </si>
  <si>
    <t>Семинар № 2</t>
  </si>
  <si>
    <t>Инна Руденко, и др специалисты КРАСС</t>
  </si>
  <si>
    <t>Оплата автору за составление пособия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</si>
</sst>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0.0"/>
    <numFmt numFmtId="165" formatCode="_([$UZS]\ * #,##0.00_);_([$UZS]\ * \(#,##0.00\);_([$UZS]\ * &quot;-&quot;??_);_(@_)"/>
    <numFmt numFmtId="166" formatCode="&quot;$&quot;#,##0.0"/>
    <numFmt numFmtId="167" formatCode="[$$-409]#,##0.00"/>
    <numFmt numFmtId="168" formatCode="&quot;$&quot;#,##0.00"/>
  </numFmts>
  <fonts count="7">
    <font>
      <sz val="10"/>
      <name val="Arial Cyr"/>
    </font>
    <font>
      <sz val="8"/>
      <name val="Arial Cyr"/>
    </font>
    <font>
      <sz val="11"/>
      <name val="Arial Narrow"/>
      <family val="2"/>
      <charset val="204"/>
    </font>
    <font>
      <i/>
      <sz val="11"/>
      <name val="Arial Narrow"/>
      <family val="2"/>
      <charset val="204"/>
    </font>
    <font>
      <i/>
      <u/>
      <sz val="11"/>
      <name val="Arial Narrow"/>
      <family val="2"/>
      <charset val="204"/>
    </font>
    <font>
      <b/>
      <i/>
      <u/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1" xfId="0" applyFont="1" applyFill="1" applyBorder="1"/>
    <xf numFmtId="167" fontId="2" fillId="6" borderId="1" xfId="0" applyNumberFormat="1" applyFont="1" applyFill="1" applyBorder="1" applyAlignment="1">
      <alignment vertical="top" wrapText="1"/>
    </xf>
    <xf numFmtId="1" fontId="2" fillId="6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44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4" fontId="2" fillId="6" borderId="1" xfId="0" applyNumberFormat="1" applyFont="1" applyFill="1" applyBorder="1" applyAlignment="1">
      <alignment horizontal="center" vertical="top" wrapText="1"/>
    </xf>
    <xf numFmtId="4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8" fontId="2" fillId="4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7" fontId="2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6" fontId="2" fillId="7" borderId="1" xfId="0" applyNumberFormat="1" applyFont="1" applyFill="1" applyBorder="1" applyAlignment="1">
      <alignment horizontal="center" vertical="top" wrapText="1"/>
    </xf>
    <xf numFmtId="167" fontId="2" fillId="7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6" fontId="2" fillId="8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workbookViewId="0">
      <pane ySplit="4" topLeftCell="A77" activePane="bottomLeft" state="frozen"/>
      <selection pane="bottomLeft" activeCell="G81" sqref="G81"/>
    </sheetView>
  </sheetViews>
  <sheetFormatPr defaultRowHeight="16.5"/>
  <cols>
    <col min="1" max="1" width="24.140625" style="1" customWidth="1"/>
    <col min="2" max="2" width="18" style="1" customWidth="1"/>
    <col min="3" max="3" width="17" style="1" customWidth="1"/>
    <col min="4" max="4" width="9.140625" style="1"/>
    <col min="5" max="5" width="9.140625" style="45"/>
    <col min="6" max="7" width="14.85546875" style="45" bestFit="1" customWidth="1"/>
    <col min="8" max="8" width="12.85546875" style="45" customWidth="1"/>
    <col min="9" max="9" width="12.28515625" style="45" customWidth="1"/>
    <col min="10" max="10" width="0" style="1" hidden="1" customWidth="1"/>
    <col min="11" max="11" width="16.5703125" style="1" hidden="1" customWidth="1"/>
    <col min="12" max="12" width="18.85546875" style="1" hidden="1" customWidth="1"/>
    <col min="13" max="13" width="16.42578125" style="1" hidden="1" customWidth="1"/>
    <col min="14" max="14" width="10.85546875" style="1" hidden="1" customWidth="1"/>
    <col min="15" max="15" width="24.85546875" style="1" customWidth="1"/>
    <col min="16" max="16384" width="9.140625" style="1"/>
  </cols>
  <sheetData>
    <row r="2" spans="1:15">
      <c r="A2" s="67" t="s">
        <v>139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64"/>
      <c r="B3" s="64"/>
      <c r="C3" s="64"/>
      <c r="D3" s="64"/>
      <c r="E3" s="64"/>
      <c r="F3" s="64"/>
      <c r="G3" s="58" t="s">
        <v>0</v>
      </c>
      <c r="H3" s="58"/>
      <c r="I3" s="58"/>
      <c r="J3" s="58" t="s">
        <v>1</v>
      </c>
      <c r="K3" s="58"/>
      <c r="L3" s="58"/>
      <c r="M3" s="12"/>
      <c r="N3" s="58" t="s">
        <v>2</v>
      </c>
      <c r="O3" s="58" t="s">
        <v>3</v>
      </c>
    </row>
    <row r="4" spans="1:15" ht="49.5">
      <c r="A4" s="12" t="s">
        <v>4</v>
      </c>
      <c r="B4" s="12" t="s">
        <v>5</v>
      </c>
      <c r="C4" s="12" t="s">
        <v>6</v>
      </c>
      <c r="D4" s="13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58"/>
      <c r="O4" s="58"/>
    </row>
    <row r="5" spans="1:15" s="2" customFormat="1">
      <c r="A5" s="14" t="s">
        <v>17</v>
      </c>
      <c r="B5" s="52" t="s">
        <v>18</v>
      </c>
      <c r="C5" s="15" t="s">
        <v>19</v>
      </c>
      <c r="D5" s="16" t="s">
        <v>20</v>
      </c>
      <c r="E5" s="24">
        <v>51</v>
      </c>
      <c r="F5" s="25">
        <v>142</v>
      </c>
      <c r="G5" s="25">
        <v>0</v>
      </c>
      <c r="H5" s="25">
        <f>E5*F5</f>
        <v>7242</v>
      </c>
      <c r="I5" s="25">
        <f>G5+H5</f>
        <v>7242</v>
      </c>
      <c r="J5" s="17"/>
      <c r="K5" s="17"/>
      <c r="L5" s="17"/>
      <c r="M5" s="17"/>
      <c r="N5" s="17"/>
      <c r="O5" s="63" t="s">
        <v>21</v>
      </c>
    </row>
    <row r="6" spans="1:15" s="2" customFormat="1" ht="49.5" customHeight="1">
      <c r="A6" s="69" t="s">
        <v>22</v>
      </c>
      <c r="B6" s="52"/>
      <c r="C6" s="15" t="s">
        <v>23</v>
      </c>
      <c r="D6" s="16" t="s">
        <v>24</v>
      </c>
      <c r="E6" s="24">
        <v>84.4</v>
      </c>
      <c r="F6" s="25">
        <v>25</v>
      </c>
      <c r="G6" s="25">
        <v>0</v>
      </c>
      <c r="H6" s="25">
        <f t="shared" ref="H6:H34" si="0">E6*F6</f>
        <v>2110</v>
      </c>
      <c r="I6" s="25">
        <f>G6+H6</f>
        <v>2110</v>
      </c>
      <c r="J6" s="17"/>
      <c r="K6" s="17"/>
      <c r="L6" s="17"/>
      <c r="M6" s="17"/>
      <c r="N6" s="17"/>
      <c r="O6" s="63"/>
    </row>
    <row r="7" spans="1:15" s="2" customFormat="1" ht="33">
      <c r="A7" s="70"/>
      <c r="B7" s="52"/>
      <c r="C7" s="15" t="s">
        <v>25</v>
      </c>
      <c r="D7" s="16" t="s">
        <v>24</v>
      </c>
      <c r="E7" s="24">
        <v>168.8</v>
      </c>
      <c r="F7" s="25">
        <v>20</v>
      </c>
      <c r="G7" s="25">
        <v>0</v>
      </c>
      <c r="H7" s="25">
        <f t="shared" si="0"/>
        <v>3376</v>
      </c>
      <c r="I7" s="25">
        <f t="shared" ref="I7:I60" si="1">G7+H7</f>
        <v>3376</v>
      </c>
      <c r="J7" s="17"/>
      <c r="K7" s="17"/>
      <c r="L7" s="17"/>
      <c r="M7" s="17"/>
      <c r="N7" s="17"/>
      <c r="O7" s="63"/>
    </row>
    <row r="8" spans="1:15" s="2" customFormat="1">
      <c r="A8" s="70"/>
      <c r="B8" s="52"/>
      <c r="C8" s="15" t="s">
        <v>26</v>
      </c>
      <c r="D8" s="16" t="s">
        <v>27</v>
      </c>
      <c r="E8" s="24">
        <v>3600</v>
      </c>
      <c r="F8" s="25">
        <v>1</v>
      </c>
      <c r="G8" s="25">
        <v>0</v>
      </c>
      <c r="H8" s="25">
        <f t="shared" si="0"/>
        <v>3600</v>
      </c>
      <c r="I8" s="25">
        <f t="shared" si="1"/>
        <v>3600</v>
      </c>
      <c r="J8" s="17"/>
      <c r="K8" s="17"/>
      <c r="L8" s="17"/>
      <c r="M8" s="17"/>
      <c r="N8" s="17"/>
      <c r="O8" s="63"/>
    </row>
    <row r="9" spans="1:15" s="2" customFormat="1">
      <c r="A9" s="70"/>
      <c r="B9" s="52"/>
      <c r="C9" s="15" t="s">
        <v>28</v>
      </c>
      <c r="D9" s="16" t="s">
        <v>27</v>
      </c>
      <c r="E9" s="24">
        <v>4000</v>
      </c>
      <c r="F9" s="25">
        <v>1.4</v>
      </c>
      <c r="G9" s="25">
        <v>0</v>
      </c>
      <c r="H9" s="25">
        <f t="shared" si="0"/>
        <v>5600</v>
      </c>
      <c r="I9" s="25">
        <f t="shared" si="1"/>
        <v>5600</v>
      </c>
      <c r="J9" s="17"/>
      <c r="K9" s="17"/>
      <c r="L9" s="17"/>
      <c r="M9" s="17"/>
      <c r="N9" s="17"/>
      <c r="O9" s="63"/>
    </row>
    <row r="10" spans="1:15" s="2" customFormat="1" ht="33">
      <c r="A10" s="70"/>
      <c r="B10" s="52"/>
      <c r="C10" s="15" t="s">
        <v>29</v>
      </c>
      <c r="D10" s="16" t="s">
        <v>30</v>
      </c>
      <c r="E10" s="24">
        <v>35</v>
      </c>
      <c r="F10" s="25">
        <v>3</v>
      </c>
      <c r="G10" s="25">
        <v>0</v>
      </c>
      <c r="H10" s="25">
        <f t="shared" si="0"/>
        <v>105</v>
      </c>
      <c r="I10" s="25">
        <f t="shared" si="1"/>
        <v>105</v>
      </c>
      <c r="J10" s="17"/>
      <c r="K10" s="17"/>
      <c r="L10" s="17"/>
      <c r="M10" s="17"/>
      <c r="N10" s="17"/>
      <c r="O10" s="63"/>
    </row>
    <row r="11" spans="1:15" s="2" customFormat="1">
      <c r="A11" s="70"/>
      <c r="B11" s="52"/>
      <c r="C11" s="15" t="s">
        <v>31</v>
      </c>
      <c r="D11" s="16" t="s">
        <v>30</v>
      </c>
      <c r="E11" s="24">
        <v>250</v>
      </c>
      <c r="F11" s="25">
        <v>2.2999999999999998</v>
      </c>
      <c r="G11" s="25">
        <v>0</v>
      </c>
      <c r="H11" s="25">
        <f t="shared" si="0"/>
        <v>575</v>
      </c>
      <c r="I11" s="25">
        <f t="shared" si="1"/>
        <v>575</v>
      </c>
      <c r="J11" s="17"/>
      <c r="K11" s="17"/>
      <c r="L11" s="17"/>
      <c r="M11" s="17"/>
      <c r="N11" s="17"/>
      <c r="O11" s="63"/>
    </row>
    <row r="12" spans="1:15" s="2" customFormat="1">
      <c r="A12" s="70"/>
      <c r="B12" s="52"/>
      <c r="C12" s="15" t="s">
        <v>32</v>
      </c>
      <c r="D12" s="16" t="s">
        <v>27</v>
      </c>
      <c r="E12" s="24">
        <v>35</v>
      </c>
      <c r="F12" s="25">
        <v>6.5</v>
      </c>
      <c r="G12" s="25">
        <v>0</v>
      </c>
      <c r="H12" s="25">
        <f t="shared" si="0"/>
        <v>227.5</v>
      </c>
      <c r="I12" s="25">
        <f t="shared" si="1"/>
        <v>227.5</v>
      </c>
      <c r="J12" s="17"/>
      <c r="K12" s="17"/>
      <c r="L12" s="17"/>
      <c r="M12" s="17"/>
      <c r="N12" s="17"/>
      <c r="O12" s="63"/>
    </row>
    <row r="13" spans="1:15" s="2" customFormat="1" ht="33">
      <c r="A13" s="70"/>
      <c r="B13" s="52"/>
      <c r="C13" s="15" t="s">
        <v>33</v>
      </c>
      <c r="D13" s="16" t="s">
        <v>34</v>
      </c>
      <c r="E13" s="24">
        <v>10</v>
      </c>
      <c r="F13" s="25">
        <v>500</v>
      </c>
      <c r="G13" s="25">
        <v>0</v>
      </c>
      <c r="H13" s="25">
        <f t="shared" si="0"/>
        <v>5000</v>
      </c>
      <c r="I13" s="25">
        <f t="shared" si="1"/>
        <v>5000</v>
      </c>
      <c r="J13" s="17"/>
      <c r="K13" s="17"/>
      <c r="L13" s="17"/>
      <c r="M13" s="17"/>
      <c r="N13" s="17"/>
      <c r="O13" s="63"/>
    </row>
    <row r="14" spans="1:15" s="2" customFormat="1" ht="33">
      <c r="A14" s="70"/>
      <c r="B14" s="52"/>
      <c r="C14" s="15" t="s">
        <v>35</v>
      </c>
      <c r="D14" s="16" t="s">
        <v>36</v>
      </c>
      <c r="E14" s="24">
        <v>120</v>
      </c>
      <c r="F14" s="25">
        <v>2.2000000000000002</v>
      </c>
      <c r="G14" s="25">
        <v>0</v>
      </c>
      <c r="H14" s="25">
        <f t="shared" si="0"/>
        <v>264</v>
      </c>
      <c r="I14" s="25">
        <f t="shared" si="1"/>
        <v>264</v>
      </c>
      <c r="J14" s="17"/>
      <c r="K14" s="17"/>
      <c r="L14" s="17"/>
      <c r="M14" s="17"/>
      <c r="N14" s="17"/>
      <c r="O14" s="63"/>
    </row>
    <row r="15" spans="1:15" s="2" customFormat="1" ht="33">
      <c r="A15" s="70"/>
      <c r="B15" s="52"/>
      <c r="C15" s="15" t="s">
        <v>37</v>
      </c>
      <c r="D15" s="16" t="s">
        <v>34</v>
      </c>
      <c r="E15" s="24">
        <v>24</v>
      </c>
      <c r="F15" s="25">
        <v>20</v>
      </c>
      <c r="G15" s="25">
        <v>0</v>
      </c>
      <c r="H15" s="25">
        <f t="shared" si="0"/>
        <v>480</v>
      </c>
      <c r="I15" s="25">
        <f t="shared" si="1"/>
        <v>480</v>
      </c>
      <c r="J15" s="17"/>
      <c r="K15" s="17"/>
      <c r="L15" s="17"/>
      <c r="M15" s="17"/>
      <c r="N15" s="17"/>
      <c r="O15" s="63"/>
    </row>
    <row r="16" spans="1:15" s="2" customFormat="1" ht="66">
      <c r="A16" s="70"/>
      <c r="B16" s="52"/>
      <c r="C16" s="15" t="s">
        <v>38</v>
      </c>
      <c r="D16" s="16" t="s">
        <v>39</v>
      </c>
      <c r="E16" s="24">
        <v>114</v>
      </c>
      <c r="F16" s="25">
        <v>2</v>
      </c>
      <c r="G16" s="25">
        <v>0</v>
      </c>
      <c r="H16" s="25">
        <f t="shared" si="0"/>
        <v>228</v>
      </c>
      <c r="I16" s="25">
        <f t="shared" si="1"/>
        <v>228</v>
      </c>
      <c r="J16" s="17"/>
      <c r="K16" s="17"/>
      <c r="L16" s="17"/>
      <c r="M16" s="17"/>
      <c r="N16" s="17"/>
      <c r="O16" s="63"/>
    </row>
    <row r="17" spans="1:15" s="2" customFormat="1" ht="49.5">
      <c r="A17" s="70"/>
      <c r="B17" s="52"/>
      <c r="C17" s="15" t="s">
        <v>40</v>
      </c>
      <c r="D17" s="16" t="s">
        <v>34</v>
      </c>
      <c r="E17" s="24">
        <v>182</v>
      </c>
      <c r="F17" s="25">
        <v>3</v>
      </c>
      <c r="G17" s="25">
        <v>0</v>
      </c>
      <c r="H17" s="25">
        <f t="shared" si="0"/>
        <v>546</v>
      </c>
      <c r="I17" s="25">
        <f t="shared" si="1"/>
        <v>546</v>
      </c>
      <c r="J17" s="17"/>
      <c r="K17" s="17"/>
      <c r="L17" s="17"/>
      <c r="M17" s="17"/>
      <c r="N17" s="17"/>
      <c r="O17" s="63"/>
    </row>
    <row r="18" spans="1:15" s="2" customFormat="1">
      <c r="A18" s="70"/>
      <c r="B18" s="52" t="s">
        <v>42</v>
      </c>
      <c r="C18" s="15" t="s">
        <v>43</v>
      </c>
      <c r="D18" s="16" t="s">
        <v>20</v>
      </c>
      <c r="E18" s="24">
        <v>12.7</v>
      </c>
      <c r="F18" s="25">
        <v>142</v>
      </c>
      <c r="G18" s="25">
        <v>0</v>
      </c>
      <c r="H18" s="25">
        <f t="shared" si="0"/>
        <v>1803.3999999999999</v>
      </c>
      <c r="I18" s="25">
        <f t="shared" si="1"/>
        <v>1803.3999999999999</v>
      </c>
      <c r="J18" s="17"/>
      <c r="K18" s="17"/>
      <c r="L18" s="17"/>
      <c r="M18" s="17"/>
      <c r="N18" s="17"/>
      <c r="O18" s="63"/>
    </row>
    <row r="19" spans="1:15" s="2" customFormat="1" ht="33">
      <c r="A19" s="70"/>
      <c r="B19" s="52"/>
      <c r="C19" s="15" t="s">
        <v>44</v>
      </c>
      <c r="D19" s="16" t="s">
        <v>34</v>
      </c>
      <c r="E19" s="24">
        <v>26</v>
      </c>
      <c r="F19" s="25">
        <v>25</v>
      </c>
      <c r="G19" s="25">
        <v>0</v>
      </c>
      <c r="H19" s="25">
        <f t="shared" si="0"/>
        <v>650</v>
      </c>
      <c r="I19" s="25">
        <f t="shared" si="1"/>
        <v>650</v>
      </c>
      <c r="J19" s="17"/>
      <c r="K19" s="17"/>
      <c r="L19" s="17"/>
      <c r="M19" s="17"/>
      <c r="N19" s="17"/>
      <c r="O19" s="63"/>
    </row>
    <row r="20" spans="1:15" s="2" customFormat="1" ht="33">
      <c r="A20" s="70"/>
      <c r="B20" s="52"/>
      <c r="C20" s="15" t="s">
        <v>25</v>
      </c>
      <c r="D20" s="16" t="s">
        <v>34</v>
      </c>
      <c r="E20" s="24">
        <v>36</v>
      </c>
      <c r="F20" s="25">
        <v>20</v>
      </c>
      <c r="G20" s="25">
        <v>0</v>
      </c>
      <c r="H20" s="25">
        <f t="shared" si="0"/>
        <v>720</v>
      </c>
      <c r="I20" s="25">
        <f t="shared" si="1"/>
        <v>720</v>
      </c>
      <c r="J20" s="17"/>
      <c r="K20" s="17"/>
      <c r="L20" s="17"/>
      <c r="M20" s="17"/>
      <c r="N20" s="17"/>
      <c r="O20" s="63"/>
    </row>
    <row r="21" spans="1:15" s="2" customFormat="1">
      <c r="A21" s="70"/>
      <c r="B21" s="52"/>
      <c r="C21" s="15" t="s">
        <v>45</v>
      </c>
      <c r="D21" s="16" t="s">
        <v>46</v>
      </c>
      <c r="E21" s="24">
        <v>1800</v>
      </c>
      <c r="F21" s="25">
        <v>0.43</v>
      </c>
      <c r="G21" s="25">
        <v>0</v>
      </c>
      <c r="H21" s="25">
        <f t="shared" si="0"/>
        <v>774</v>
      </c>
      <c r="I21" s="25">
        <f t="shared" si="1"/>
        <v>774</v>
      </c>
      <c r="J21" s="17"/>
      <c r="K21" s="17"/>
      <c r="L21" s="17"/>
      <c r="M21" s="17"/>
      <c r="N21" s="17"/>
      <c r="O21" s="63"/>
    </row>
    <row r="22" spans="1:15" s="2" customFormat="1">
      <c r="A22" s="70"/>
      <c r="B22" s="52"/>
      <c r="C22" s="15" t="s">
        <v>26</v>
      </c>
      <c r="D22" s="16" t="s">
        <v>47</v>
      </c>
      <c r="E22" s="24">
        <v>195</v>
      </c>
      <c r="F22" s="25">
        <v>1</v>
      </c>
      <c r="G22" s="25">
        <v>0</v>
      </c>
      <c r="H22" s="25">
        <f t="shared" si="0"/>
        <v>195</v>
      </c>
      <c r="I22" s="25">
        <f t="shared" si="1"/>
        <v>195</v>
      </c>
      <c r="J22" s="17"/>
      <c r="K22" s="17"/>
      <c r="L22" s="17"/>
      <c r="M22" s="17"/>
      <c r="N22" s="17"/>
      <c r="O22" s="63"/>
    </row>
    <row r="23" spans="1:15" s="2" customFormat="1">
      <c r="A23" s="70"/>
      <c r="B23" s="52"/>
      <c r="C23" s="15" t="s">
        <v>48</v>
      </c>
      <c r="D23" s="16" t="s">
        <v>36</v>
      </c>
      <c r="E23" s="24">
        <v>100</v>
      </c>
      <c r="F23" s="25">
        <v>1.8</v>
      </c>
      <c r="G23" s="25">
        <v>0</v>
      </c>
      <c r="H23" s="25">
        <f t="shared" si="0"/>
        <v>180</v>
      </c>
      <c r="I23" s="25">
        <f t="shared" si="1"/>
        <v>180</v>
      </c>
      <c r="J23" s="17"/>
      <c r="K23" s="17"/>
      <c r="L23" s="17"/>
      <c r="M23" s="17"/>
      <c r="N23" s="17"/>
      <c r="O23" s="63"/>
    </row>
    <row r="24" spans="1:15" s="2" customFormat="1">
      <c r="A24" s="70"/>
      <c r="B24" s="52" t="s">
        <v>50</v>
      </c>
      <c r="C24" s="15" t="s">
        <v>51</v>
      </c>
      <c r="D24" s="16" t="s">
        <v>20</v>
      </c>
      <c r="E24" s="24">
        <v>8.8000000000000007</v>
      </c>
      <c r="F24" s="25">
        <v>142</v>
      </c>
      <c r="G24" s="25">
        <v>0</v>
      </c>
      <c r="H24" s="25">
        <f t="shared" si="0"/>
        <v>1249.6000000000001</v>
      </c>
      <c r="I24" s="25">
        <f t="shared" si="1"/>
        <v>1249.6000000000001</v>
      </c>
      <c r="J24" s="17"/>
      <c r="K24" s="17"/>
      <c r="L24" s="17"/>
      <c r="M24" s="17"/>
      <c r="N24" s="17"/>
      <c r="O24" s="63"/>
    </row>
    <row r="25" spans="1:15" s="2" customFormat="1" ht="33">
      <c r="A25" s="70"/>
      <c r="B25" s="52"/>
      <c r="C25" s="15" t="s">
        <v>44</v>
      </c>
      <c r="D25" s="16" t="s">
        <v>34</v>
      </c>
      <c r="E25" s="24">
        <v>18</v>
      </c>
      <c r="F25" s="25">
        <v>25</v>
      </c>
      <c r="G25" s="25">
        <v>0</v>
      </c>
      <c r="H25" s="25">
        <f t="shared" si="0"/>
        <v>450</v>
      </c>
      <c r="I25" s="25">
        <f t="shared" si="1"/>
        <v>450</v>
      </c>
      <c r="J25" s="17"/>
      <c r="K25" s="17"/>
      <c r="L25" s="17"/>
      <c r="M25" s="17"/>
      <c r="N25" s="17"/>
      <c r="O25" s="63"/>
    </row>
    <row r="26" spans="1:15" s="2" customFormat="1" ht="33">
      <c r="A26" s="70"/>
      <c r="B26" s="52"/>
      <c r="C26" s="14" t="s">
        <v>52</v>
      </c>
      <c r="D26" s="16" t="s">
        <v>34</v>
      </c>
      <c r="E26" s="24">
        <v>35</v>
      </c>
      <c r="F26" s="25">
        <v>20</v>
      </c>
      <c r="G26" s="25">
        <v>0</v>
      </c>
      <c r="H26" s="25">
        <f t="shared" si="0"/>
        <v>700</v>
      </c>
      <c r="I26" s="25">
        <f t="shared" si="1"/>
        <v>700</v>
      </c>
      <c r="J26" s="17"/>
      <c r="K26" s="17"/>
      <c r="L26" s="17"/>
      <c r="M26" s="17"/>
      <c r="N26" s="17"/>
      <c r="O26" s="63"/>
    </row>
    <row r="27" spans="1:15" s="2" customFormat="1">
      <c r="A27" s="70"/>
      <c r="B27" s="52"/>
      <c r="C27" s="14" t="s">
        <v>53</v>
      </c>
      <c r="D27" s="16" t="s">
        <v>54</v>
      </c>
      <c r="E27" s="24">
        <v>11</v>
      </c>
      <c r="F27" s="25">
        <v>142</v>
      </c>
      <c r="G27" s="25">
        <v>0</v>
      </c>
      <c r="H27" s="25">
        <f t="shared" si="0"/>
        <v>1562</v>
      </c>
      <c r="I27" s="25">
        <f t="shared" si="1"/>
        <v>1562</v>
      </c>
      <c r="J27" s="17"/>
      <c r="K27" s="17"/>
      <c r="L27" s="17"/>
      <c r="M27" s="17"/>
      <c r="N27" s="17"/>
      <c r="O27" s="63"/>
    </row>
    <row r="28" spans="1:15" s="2" customFormat="1" ht="66">
      <c r="A28" s="70"/>
      <c r="B28" s="52"/>
      <c r="C28" s="14" t="s">
        <v>55</v>
      </c>
      <c r="D28" s="16" t="s">
        <v>56</v>
      </c>
      <c r="E28" s="24">
        <v>311</v>
      </c>
      <c r="F28" s="25">
        <v>1</v>
      </c>
      <c r="G28" s="25">
        <v>0</v>
      </c>
      <c r="H28" s="25">
        <f t="shared" si="0"/>
        <v>311</v>
      </c>
      <c r="I28" s="25">
        <f t="shared" si="1"/>
        <v>311</v>
      </c>
      <c r="J28" s="17"/>
      <c r="K28" s="17"/>
      <c r="L28" s="17"/>
      <c r="M28" s="17"/>
      <c r="N28" s="17"/>
      <c r="O28" s="63"/>
    </row>
    <row r="29" spans="1:15" s="2" customFormat="1" ht="33">
      <c r="A29" s="70"/>
      <c r="B29" s="52"/>
      <c r="C29" s="14" t="s">
        <v>29</v>
      </c>
      <c r="D29" s="16" t="s">
        <v>36</v>
      </c>
      <c r="E29" s="24">
        <v>7</v>
      </c>
      <c r="F29" s="25">
        <v>3</v>
      </c>
      <c r="G29" s="25">
        <v>0</v>
      </c>
      <c r="H29" s="25">
        <f t="shared" si="0"/>
        <v>21</v>
      </c>
      <c r="I29" s="25">
        <f t="shared" si="1"/>
        <v>21</v>
      </c>
      <c r="J29" s="17"/>
      <c r="K29" s="17"/>
      <c r="L29" s="17"/>
      <c r="M29" s="17"/>
      <c r="N29" s="17"/>
      <c r="O29" s="63"/>
    </row>
    <row r="30" spans="1:15" s="2" customFormat="1" ht="33">
      <c r="A30" s="70"/>
      <c r="B30" s="52"/>
      <c r="C30" s="14" t="s">
        <v>35</v>
      </c>
      <c r="D30" s="16" t="s">
        <v>36</v>
      </c>
      <c r="E30" s="24">
        <v>24</v>
      </c>
      <c r="F30" s="25">
        <v>2.2000000000000002</v>
      </c>
      <c r="G30" s="25">
        <v>0</v>
      </c>
      <c r="H30" s="25">
        <f t="shared" si="0"/>
        <v>52.800000000000004</v>
      </c>
      <c r="I30" s="25">
        <f t="shared" si="1"/>
        <v>52.800000000000004</v>
      </c>
      <c r="J30" s="17"/>
      <c r="K30" s="17"/>
      <c r="L30" s="17"/>
      <c r="M30" s="17"/>
      <c r="N30" s="17"/>
      <c r="O30" s="63"/>
    </row>
    <row r="31" spans="1:15" s="2" customFormat="1" ht="33">
      <c r="A31" s="70"/>
      <c r="B31" s="52"/>
      <c r="C31" s="14" t="s">
        <v>57</v>
      </c>
      <c r="D31" s="16" t="s">
        <v>58</v>
      </c>
      <c r="E31" s="24">
        <v>40</v>
      </c>
      <c r="F31" s="25">
        <v>62</v>
      </c>
      <c r="G31" s="25">
        <v>0</v>
      </c>
      <c r="H31" s="25">
        <f t="shared" si="0"/>
        <v>2480</v>
      </c>
      <c r="I31" s="25">
        <f t="shared" si="1"/>
        <v>2480</v>
      </c>
      <c r="J31" s="17"/>
      <c r="K31" s="17"/>
      <c r="L31" s="17"/>
      <c r="M31" s="17"/>
      <c r="N31" s="17"/>
      <c r="O31" s="63"/>
    </row>
    <row r="32" spans="1:15" s="2" customFormat="1" ht="33">
      <c r="A32" s="70"/>
      <c r="B32" s="52"/>
      <c r="C32" s="14" t="s">
        <v>59</v>
      </c>
      <c r="D32" s="16" t="s">
        <v>46</v>
      </c>
      <c r="E32" s="24">
        <v>4</v>
      </c>
      <c r="F32" s="25">
        <v>19</v>
      </c>
      <c r="G32" s="25">
        <v>0</v>
      </c>
      <c r="H32" s="25">
        <f t="shared" si="0"/>
        <v>76</v>
      </c>
      <c r="I32" s="25">
        <f t="shared" si="1"/>
        <v>76</v>
      </c>
      <c r="J32" s="17"/>
      <c r="K32" s="17"/>
      <c r="L32" s="17"/>
      <c r="M32" s="17"/>
      <c r="N32" s="17"/>
      <c r="O32" s="63"/>
    </row>
    <row r="33" spans="1:15" s="2" customFormat="1" ht="33">
      <c r="A33" s="70"/>
      <c r="B33" s="52"/>
      <c r="C33" s="14" t="s">
        <v>60</v>
      </c>
      <c r="D33" s="16" t="s">
        <v>61</v>
      </c>
      <c r="E33" s="24">
        <v>1</v>
      </c>
      <c r="F33" s="25">
        <v>210</v>
      </c>
      <c r="G33" s="25">
        <v>0</v>
      </c>
      <c r="H33" s="25">
        <f t="shared" si="0"/>
        <v>210</v>
      </c>
      <c r="I33" s="25">
        <f t="shared" si="1"/>
        <v>210</v>
      </c>
      <c r="J33" s="17"/>
      <c r="K33" s="17"/>
      <c r="L33" s="17"/>
      <c r="M33" s="17"/>
      <c r="N33" s="17"/>
      <c r="O33" s="63"/>
    </row>
    <row r="34" spans="1:15" s="2" customFormat="1">
      <c r="A34" s="70"/>
      <c r="B34" s="52"/>
      <c r="C34" s="14" t="s">
        <v>31</v>
      </c>
      <c r="D34" s="16" t="s">
        <v>36</v>
      </c>
      <c r="E34" s="24">
        <v>50</v>
      </c>
      <c r="F34" s="25">
        <v>2.2999999999999998</v>
      </c>
      <c r="G34" s="25">
        <v>0</v>
      </c>
      <c r="H34" s="25">
        <f t="shared" si="0"/>
        <v>114.99999999999999</v>
      </c>
      <c r="I34" s="25">
        <f t="shared" si="1"/>
        <v>114.99999999999999</v>
      </c>
      <c r="J34" s="17"/>
      <c r="K34" s="17"/>
      <c r="L34" s="17"/>
      <c r="M34" s="17"/>
      <c r="N34" s="17"/>
      <c r="O34" s="63"/>
    </row>
    <row r="35" spans="1:15" s="2" customFormat="1" ht="49.5">
      <c r="A35" s="70"/>
      <c r="B35" s="52"/>
      <c r="C35" s="14" t="s">
        <v>62</v>
      </c>
      <c r="D35" s="16" t="s">
        <v>47</v>
      </c>
      <c r="E35" s="24">
        <v>15</v>
      </c>
      <c r="F35" s="25">
        <v>27</v>
      </c>
      <c r="G35" s="25">
        <v>0</v>
      </c>
      <c r="H35" s="25">
        <f>E35*F35</f>
        <v>405</v>
      </c>
      <c r="I35" s="25">
        <f t="shared" si="1"/>
        <v>405</v>
      </c>
      <c r="J35" s="17"/>
      <c r="K35" s="17"/>
      <c r="L35" s="17"/>
      <c r="M35" s="17"/>
      <c r="N35" s="17"/>
      <c r="O35" s="63"/>
    </row>
    <row r="36" spans="1:15" s="2" customFormat="1" ht="33">
      <c r="A36" s="71"/>
      <c r="B36" s="52"/>
      <c r="C36" s="14" t="s">
        <v>63</v>
      </c>
      <c r="D36" s="24" t="s">
        <v>41</v>
      </c>
      <c r="E36" s="24" t="s">
        <v>41</v>
      </c>
      <c r="F36" s="25">
        <v>1900</v>
      </c>
      <c r="G36" s="25">
        <v>0</v>
      </c>
      <c r="H36" s="25">
        <f>F36</f>
        <v>1900</v>
      </c>
      <c r="I36" s="25">
        <f t="shared" si="1"/>
        <v>1900</v>
      </c>
      <c r="J36" s="17"/>
      <c r="K36" s="17"/>
      <c r="L36" s="17"/>
      <c r="M36" s="17"/>
      <c r="N36" s="17"/>
      <c r="O36" s="63"/>
    </row>
    <row r="37" spans="1:15" ht="33">
      <c r="A37" s="62" t="s">
        <v>64</v>
      </c>
      <c r="B37" s="52" t="s">
        <v>65</v>
      </c>
      <c r="C37" s="14" t="s">
        <v>66</v>
      </c>
      <c r="D37" s="16" t="s">
        <v>47</v>
      </c>
      <c r="E37" s="19">
        <v>68</v>
      </c>
      <c r="F37" s="25">
        <f>14000/1746</f>
        <v>8.0183276059564719</v>
      </c>
      <c r="G37" s="50">
        <f>E37*F37</f>
        <v>545.24627720504009</v>
      </c>
      <c r="H37" s="25">
        <v>0</v>
      </c>
      <c r="I37" s="25">
        <f t="shared" si="1"/>
        <v>545.24627720504009</v>
      </c>
      <c r="J37" s="20">
        <v>68</v>
      </c>
      <c r="K37" s="21">
        <v>14000</v>
      </c>
      <c r="L37" s="21">
        <f>J37*K37</f>
        <v>952000</v>
      </c>
      <c r="M37" s="22">
        <f>L37/2173</f>
        <v>438.10400368154626</v>
      </c>
      <c r="N37" s="22">
        <f>G37-M37</f>
        <v>107.14227352349383</v>
      </c>
      <c r="O37" s="63" t="s">
        <v>67</v>
      </c>
    </row>
    <row r="38" spans="1:15" ht="33">
      <c r="A38" s="62"/>
      <c r="B38" s="52"/>
      <c r="C38" s="14" t="s">
        <v>68</v>
      </c>
      <c r="D38" s="16" t="s">
        <v>46</v>
      </c>
      <c r="E38" s="19">
        <v>14</v>
      </c>
      <c r="F38" s="25">
        <f>13500/1746</f>
        <v>7.731958762886598</v>
      </c>
      <c r="G38" s="50">
        <f t="shared" ref="G38:G60" si="2">E38*F38</f>
        <v>108.24742268041237</v>
      </c>
      <c r="H38" s="25">
        <v>0</v>
      </c>
      <c r="I38" s="25">
        <f t="shared" si="1"/>
        <v>108.24742268041237</v>
      </c>
      <c r="J38" s="20">
        <v>14</v>
      </c>
      <c r="K38" s="21">
        <v>13500</v>
      </c>
      <c r="L38" s="21">
        <f t="shared" ref="L38:L44" si="3">J38*K38</f>
        <v>189000</v>
      </c>
      <c r="M38" s="22">
        <f t="shared" ref="M38:M44" si="4">L38/2173</f>
        <v>86.976530142659911</v>
      </c>
      <c r="N38" s="22">
        <f t="shared" ref="N38:N44" si="5">G38-M38</f>
        <v>21.270892537752459</v>
      </c>
      <c r="O38" s="63"/>
    </row>
    <row r="39" spans="1:15" ht="49.5">
      <c r="A39" s="62"/>
      <c r="B39" s="52"/>
      <c r="C39" s="14" t="s">
        <v>69</v>
      </c>
      <c r="D39" s="16" t="s">
        <v>70</v>
      </c>
      <c r="E39" s="19">
        <v>14</v>
      </c>
      <c r="F39" s="25">
        <f>12500/1746</f>
        <v>7.1592210767468503</v>
      </c>
      <c r="G39" s="50">
        <f t="shared" si="2"/>
        <v>100.2290950744559</v>
      </c>
      <c r="H39" s="25">
        <v>0</v>
      </c>
      <c r="I39" s="25">
        <f t="shared" si="1"/>
        <v>100.2290950744559</v>
      </c>
      <c r="J39" s="20">
        <v>14</v>
      </c>
      <c r="K39" s="21">
        <v>12500</v>
      </c>
      <c r="L39" s="21">
        <f t="shared" si="3"/>
        <v>175000</v>
      </c>
      <c r="M39" s="22">
        <f t="shared" si="4"/>
        <v>80.533824206166585</v>
      </c>
      <c r="N39" s="22">
        <f t="shared" si="5"/>
        <v>19.695270868289313</v>
      </c>
      <c r="O39" s="63"/>
    </row>
    <row r="40" spans="1:15" ht="33">
      <c r="A40" s="62"/>
      <c r="B40" s="52"/>
      <c r="C40" s="14" t="s">
        <v>71</v>
      </c>
      <c r="D40" s="16" t="s">
        <v>47</v>
      </c>
      <c r="E40" s="19">
        <v>45</v>
      </c>
      <c r="F40" s="25">
        <f>22000/1746</f>
        <v>12.600229095074456</v>
      </c>
      <c r="G40" s="50">
        <f t="shared" si="2"/>
        <v>567.01030927835052</v>
      </c>
      <c r="H40" s="25">
        <v>0</v>
      </c>
      <c r="I40" s="25">
        <f t="shared" si="1"/>
        <v>567.01030927835052</v>
      </c>
      <c r="J40" s="20">
        <v>45</v>
      </c>
      <c r="K40" s="21">
        <v>22000</v>
      </c>
      <c r="L40" s="21">
        <f t="shared" si="3"/>
        <v>990000</v>
      </c>
      <c r="M40" s="22">
        <f t="shared" si="4"/>
        <v>455.59134836631387</v>
      </c>
      <c r="N40" s="22">
        <f t="shared" si="5"/>
        <v>111.41896091203665</v>
      </c>
      <c r="O40" s="63"/>
    </row>
    <row r="41" spans="1:15" ht="82.5">
      <c r="A41" s="62"/>
      <c r="B41" s="52"/>
      <c r="C41" s="14" t="s">
        <v>72</v>
      </c>
      <c r="D41" s="16" t="s">
        <v>46</v>
      </c>
      <c r="E41" s="19">
        <v>1</v>
      </c>
      <c r="F41" s="25">
        <f>5960000/1746</f>
        <v>3413.5166093928979</v>
      </c>
      <c r="G41" s="50">
        <f t="shared" si="2"/>
        <v>3413.5166093928979</v>
      </c>
      <c r="H41" s="25">
        <v>0</v>
      </c>
      <c r="I41" s="25">
        <f t="shared" si="1"/>
        <v>3413.5166093928979</v>
      </c>
      <c r="J41" s="20">
        <v>1</v>
      </c>
      <c r="K41" s="21">
        <v>5960000</v>
      </c>
      <c r="L41" s="21">
        <f t="shared" si="3"/>
        <v>5960000</v>
      </c>
      <c r="M41" s="22">
        <f t="shared" si="4"/>
        <v>2742.7519558214449</v>
      </c>
      <c r="N41" s="22">
        <f t="shared" si="5"/>
        <v>670.76465357145298</v>
      </c>
      <c r="O41" s="63"/>
    </row>
    <row r="42" spans="1:15" ht="33">
      <c r="A42" s="62"/>
      <c r="B42" s="52"/>
      <c r="C42" s="14" t="s">
        <v>73</v>
      </c>
      <c r="D42" s="16" t="s">
        <v>47</v>
      </c>
      <c r="E42" s="19">
        <v>98</v>
      </c>
      <c r="F42" s="25">
        <f>13500/1746</f>
        <v>7.731958762886598</v>
      </c>
      <c r="G42" s="50">
        <f t="shared" si="2"/>
        <v>757.73195876288662</v>
      </c>
      <c r="H42" s="25">
        <v>0</v>
      </c>
      <c r="I42" s="25">
        <f t="shared" si="1"/>
        <v>757.73195876288662</v>
      </c>
      <c r="J42" s="20">
        <v>98</v>
      </c>
      <c r="K42" s="21">
        <v>13500</v>
      </c>
      <c r="L42" s="21">
        <f t="shared" si="3"/>
        <v>1323000</v>
      </c>
      <c r="M42" s="22">
        <f t="shared" si="4"/>
        <v>608.83571099861945</v>
      </c>
      <c r="N42" s="22">
        <f t="shared" si="5"/>
        <v>148.89624776426717</v>
      </c>
      <c r="O42" s="63"/>
    </row>
    <row r="43" spans="1:15">
      <c r="A43" s="62"/>
      <c r="B43" s="52"/>
      <c r="C43" s="14" t="s">
        <v>74</v>
      </c>
      <c r="D43" s="16" t="s">
        <v>36</v>
      </c>
      <c r="E43" s="19">
        <v>12</v>
      </c>
      <c r="F43" s="25">
        <f>18500/1746</f>
        <v>10.595647193585338</v>
      </c>
      <c r="G43" s="50">
        <f t="shared" si="2"/>
        <v>127.14776632302406</v>
      </c>
      <c r="H43" s="25">
        <v>0</v>
      </c>
      <c r="I43" s="25">
        <f t="shared" si="1"/>
        <v>127.14776632302406</v>
      </c>
      <c r="J43" s="20">
        <v>12</v>
      </c>
      <c r="K43" s="21">
        <v>18500</v>
      </c>
      <c r="L43" s="21">
        <f t="shared" si="3"/>
        <v>222000</v>
      </c>
      <c r="M43" s="22">
        <f t="shared" si="4"/>
        <v>102.16290842153704</v>
      </c>
      <c r="N43" s="22">
        <f t="shared" si="5"/>
        <v>24.984857901487018</v>
      </c>
      <c r="O43" s="63"/>
    </row>
    <row r="44" spans="1:15" ht="66.75" customHeight="1">
      <c r="A44" s="62"/>
      <c r="B44" s="52"/>
      <c r="C44" s="14" t="s">
        <v>75</v>
      </c>
      <c r="D44" s="16" t="s">
        <v>46</v>
      </c>
      <c r="E44" s="19">
        <v>30</v>
      </c>
      <c r="F44" s="25">
        <f>25000/1746</f>
        <v>14.318442153493701</v>
      </c>
      <c r="G44" s="50">
        <f t="shared" si="2"/>
        <v>429.55326460481103</v>
      </c>
      <c r="H44" s="25">
        <v>0</v>
      </c>
      <c r="I44" s="25">
        <f t="shared" si="1"/>
        <v>429.55326460481103</v>
      </c>
      <c r="J44" s="20">
        <v>30</v>
      </c>
      <c r="K44" s="21">
        <v>25000</v>
      </c>
      <c r="L44" s="21">
        <f t="shared" si="3"/>
        <v>750000</v>
      </c>
      <c r="M44" s="22">
        <f t="shared" si="4"/>
        <v>345.14496088357112</v>
      </c>
      <c r="N44" s="22">
        <f t="shared" si="5"/>
        <v>84.408303721239918</v>
      </c>
      <c r="O44" s="63"/>
    </row>
    <row r="45" spans="1:15" ht="33">
      <c r="A45" s="62"/>
      <c r="B45" s="52"/>
      <c r="C45" s="14" t="s">
        <v>63</v>
      </c>
      <c r="D45" s="24" t="s">
        <v>41</v>
      </c>
      <c r="E45" s="24" t="s">
        <v>41</v>
      </c>
      <c r="F45" s="25">
        <v>450</v>
      </c>
      <c r="G45" s="25">
        <v>0</v>
      </c>
      <c r="H45" s="25">
        <v>450</v>
      </c>
      <c r="I45" s="25">
        <f t="shared" si="1"/>
        <v>450</v>
      </c>
      <c r="J45" s="17"/>
      <c r="K45" s="17"/>
      <c r="L45" s="17"/>
      <c r="M45" s="17"/>
      <c r="N45" s="17"/>
      <c r="O45" s="63"/>
    </row>
    <row r="46" spans="1:15" ht="33">
      <c r="A46" s="62"/>
      <c r="B46" s="52" t="s">
        <v>76</v>
      </c>
      <c r="C46" s="14" t="s">
        <v>77</v>
      </c>
      <c r="D46" s="16" t="s">
        <v>34</v>
      </c>
      <c r="E46" s="24">
        <v>1</v>
      </c>
      <c r="F46" s="25">
        <f>1000000/1746</f>
        <v>572.73768613974801</v>
      </c>
      <c r="G46" s="50">
        <f t="shared" si="2"/>
        <v>572.73768613974801</v>
      </c>
      <c r="H46" s="25">
        <v>0</v>
      </c>
      <c r="I46" s="25">
        <f t="shared" si="1"/>
        <v>572.73768613974801</v>
      </c>
      <c r="J46" s="20">
        <v>1</v>
      </c>
      <c r="K46" s="21">
        <v>1000000</v>
      </c>
      <c r="L46" s="21">
        <f t="shared" ref="L46:L55" si="6">J46*K46</f>
        <v>1000000</v>
      </c>
      <c r="M46" s="22">
        <f>L46/2173</f>
        <v>460.19328117809482</v>
      </c>
      <c r="N46" s="22">
        <f t="shared" ref="N46:N55" si="7">G46-M46</f>
        <v>112.54440496165319</v>
      </c>
      <c r="O46" s="63" t="s">
        <v>78</v>
      </c>
    </row>
    <row r="47" spans="1:15" ht="49.5">
      <c r="A47" s="62"/>
      <c r="B47" s="52"/>
      <c r="C47" s="14" t="s">
        <v>79</v>
      </c>
      <c r="D47" s="16" t="s">
        <v>27</v>
      </c>
      <c r="E47" s="24">
        <v>36</v>
      </c>
      <c r="F47" s="25">
        <f>2500/1746</f>
        <v>1.43184421534937</v>
      </c>
      <c r="G47" s="50">
        <f t="shared" si="2"/>
        <v>51.546391752577321</v>
      </c>
      <c r="H47" s="25">
        <v>0</v>
      </c>
      <c r="I47" s="25">
        <f t="shared" si="1"/>
        <v>51.546391752577321</v>
      </c>
      <c r="J47" s="20">
        <v>36</v>
      </c>
      <c r="K47" s="21">
        <v>2500</v>
      </c>
      <c r="L47" s="21">
        <f t="shared" si="6"/>
        <v>90000</v>
      </c>
      <c r="M47" s="22">
        <f t="shared" ref="M47:M55" si="8">L47/2173</f>
        <v>41.417395306028531</v>
      </c>
      <c r="N47" s="22">
        <f t="shared" si="7"/>
        <v>10.12899644654879</v>
      </c>
      <c r="O47" s="63"/>
    </row>
    <row r="48" spans="1:15">
      <c r="A48" s="62"/>
      <c r="B48" s="52"/>
      <c r="C48" s="14" t="s">
        <v>80</v>
      </c>
      <c r="D48" s="16" t="s">
        <v>36</v>
      </c>
      <c r="E48" s="24">
        <v>5</v>
      </c>
      <c r="F48" s="25">
        <f>13500/1746</f>
        <v>7.731958762886598</v>
      </c>
      <c r="G48" s="50">
        <f t="shared" si="2"/>
        <v>38.659793814432987</v>
      </c>
      <c r="H48" s="25">
        <v>0</v>
      </c>
      <c r="I48" s="25">
        <f t="shared" si="1"/>
        <v>38.659793814432987</v>
      </c>
      <c r="J48" s="20">
        <v>5</v>
      </c>
      <c r="K48" s="21">
        <v>13500</v>
      </c>
      <c r="L48" s="21">
        <f t="shared" si="6"/>
        <v>67500</v>
      </c>
      <c r="M48" s="22">
        <f t="shared" si="8"/>
        <v>31.0630464795214</v>
      </c>
      <c r="N48" s="22">
        <f t="shared" si="7"/>
        <v>7.596747334911587</v>
      </c>
      <c r="O48" s="63"/>
    </row>
    <row r="49" spans="1:15">
      <c r="A49" s="62"/>
      <c r="B49" s="52"/>
      <c r="C49" s="14" t="s">
        <v>81</v>
      </c>
      <c r="D49" s="16" t="s">
        <v>36</v>
      </c>
      <c r="E49" s="24">
        <v>5</v>
      </c>
      <c r="F49" s="25">
        <f>12000/1746</f>
        <v>6.8728522336769755</v>
      </c>
      <c r="G49" s="50">
        <f t="shared" si="2"/>
        <v>34.364261168384878</v>
      </c>
      <c r="H49" s="25">
        <v>0</v>
      </c>
      <c r="I49" s="25">
        <f t="shared" si="1"/>
        <v>34.364261168384878</v>
      </c>
      <c r="J49" s="20">
        <v>5</v>
      </c>
      <c r="K49" s="21">
        <v>12000</v>
      </c>
      <c r="L49" s="21">
        <f t="shared" si="6"/>
        <v>60000</v>
      </c>
      <c r="M49" s="22">
        <f t="shared" si="8"/>
        <v>27.611596870685688</v>
      </c>
      <c r="N49" s="22">
        <f t="shared" si="7"/>
        <v>6.7526642976991909</v>
      </c>
      <c r="O49" s="63"/>
    </row>
    <row r="50" spans="1:15" ht="66">
      <c r="A50" s="62"/>
      <c r="B50" s="52"/>
      <c r="C50" s="14" t="s">
        <v>140</v>
      </c>
      <c r="D50" s="16" t="s">
        <v>56</v>
      </c>
      <c r="E50" s="24">
        <v>16</v>
      </c>
      <c r="F50" s="25">
        <f>1500/1746</f>
        <v>0.85910652920962194</v>
      </c>
      <c r="G50" s="50">
        <f t="shared" si="2"/>
        <v>13.745704467353951</v>
      </c>
      <c r="H50" s="25">
        <v>0</v>
      </c>
      <c r="I50" s="25">
        <f t="shared" si="1"/>
        <v>13.745704467353951</v>
      </c>
      <c r="J50" s="20">
        <v>16</v>
      </c>
      <c r="K50" s="21">
        <v>1500</v>
      </c>
      <c r="L50" s="21">
        <f t="shared" si="6"/>
        <v>24000</v>
      </c>
      <c r="M50" s="22">
        <f t="shared" si="8"/>
        <v>11.044638748274275</v>
      </c>
      <c r="N50" s="22">
        <f t="shared" si="7"/>
        <v>2.7010657190796756</v>
      </c>
      <c r="O50" s="63"/>
    </row>
    <row r="51" spans="1:15" ht="33">
      <c r="A51" s="62"/>
      <c r="B51" s="52"/>
      <c r="C51" s="14" t="s">
        <v>82</v>
      </c>
      <c r="D51" s="16" t="s">
        <v>46</v>
      </c>
      <c r="E51" s="24">
        <v>8</v>
      </c>
      <c r="F51" s="25">
        <f>8500/1746</f>
        <v>4.8682703321878575</v>
      </c>
      <c r="G51" s="50">
        <f t="shared" si="2"/>
        <v>38.94616265750286</v>
      </c>
      <c r="H51" s="25">
        <v>0</v>
      </c>
      <c r="I51" s="25">
        <f t="shared" si="1"/>
        <v>38.94616265750286</v>
      </c>
      <c r="J51" s="20">
        <v>8</v>
      </c>
      <c r="K51" s="21">
        <v>8500</v>
      </c>
      <c r="L51" s="21">
        <f t="shared" si="6"/>
        <v>68000</v>
      </c>
      <c r="M51" s="22">
        <f t="shared" si="8"/>
        <v>31.293143120110447</v>
      </c>
      <c r="N51" s="22">
        <f t="shared" si="7"/>
        <v>7.6530195373924137</v>
      </c>
      <c r="O51" s="63"/>
    </row>
    <row r="52" spans="1:15" ht="66">
      <c r="A52" s="62"/>
      <c r="B52" s="52"/>
      <c r="C52" s="14" t="s">
        <v>83</v>
      </c>
      <c r="D52" s="16" t="s">
        <v>56</v>
      </c>
      <c r="E52" s="24">
        <v>54</v>
      </c>
      <c r="F52" s="25">
        <f>4200/1746</f>
        <v>2.4054982817869415</v>
      </c>
      <c r="G52" s="50">
        <f t="shared" si="2"/>
        <v>129.89690721649484</v>
      </c>
      <c r="H52" s="25">
        <v>0</v>
      </c>
      <c r="I52" s="25">
        <f t="shared" si="1"/>
        <v>129.89690721649484</v>
      </c>
      <c r="J52" s="20">
        <v>54</v>
      </c>
      <c r="K52" s="21">
        <v>4200</v>
      </c>
      <c r="L52" s="21">
        <f t="shared" si="6"/>
        <v>226800</v>
      </c>
      <c r="M52" s="22">
        <f t="shared" si="8"/>
        <v>104.3718361711919</v>
      </c>
      <c r="N52" s="22">
        <f t="shared" si="7"/>
        <v>25.525071045302937</v>
      </c>
      <c r="O52" s="63"/>
    </row>
    <row r="53" spans="1:15" ht="50.25" customHeight="1">
      <c r="A53" s="62"/>
      <c r="B53" s="52"/>
      <c r="C53" s="14" t="s">
        <v>84</v>
      </c>
      <c r="D53" s="16" t="s">
        <v>47</v>
      </c>
      <c r="E53" s="24">
        <v>66</v>
      </c>
      <c r="F53" s="25">
        <f>12500/1746</f>
        <v>7.1592210767468503</v>
      </c>
      <c r="G53" s="50">
        <f t="shared" si="2"/>
        <v>472.50859106529214</v>
      </c>
      <c r="H53" s="25">
        <v>0</v>
      </c>
      <c r="I53" s="25">
        <f t="shared" si="1"/>
        <v>472.50859106529214</v>
      </c>
      <c r="J53" s="20">
        <v>66</v>
      </c>
      <c r="K53" s="21">
        <v>12500</v>
      </c>
      <c r="L53" s="21">
        <f t="shared" si="6"/>
        <v>825000</v>
      </c>
      <c r="M53" s="22">
        <f t="shared" si="8"/>
        <v>379.65945697192819</v>
      </c>
      <c r="N53" s="22">
        <f t="shared" si="7"/>
        <v>92.849134093363944</v>
      </c>
      <c r="O53" s="63"/>
    </row>
    <row r="54" spans="1:15">
      <c r="A54" s="62"/>
      <c r="B54" s="52"/>
      <c r="C54" s="14" t="s">
        <v>85</v>
      </c>
      <c r="D54" s="16" t="s">
        <v>46</v>
      </c>
      <c r="E54" s="24">
        <v>1</v>
      </c>
      <c r="F54" s="25">
        <f>500/1746</f>
        <v>0.28636884306987398</v>
      </c>
      <c r="G54" s="50">
        <f t="shared" si="2"/>
        <v>0.28636884306987398</v>
      </c>
      <c r="H54" s="25">
        <v>0</v>
      </c>
      <c r="I54" s="25">
        <f t="shared" si="1"/>
        <v>0.28636884306987398</v>
      </c>
      <c r="J54" s="20">
        <v>1</v>
      </c>
      <c r="K54" s="21">
        <v>500</v>
      </c>
      <c r="L54" s="21">
        <f t="shared" si="6"/>
        <v>500</v>
      </c>
      <c r="M54" s="22">
        <f t="shared" si="8"/>
        <v>0.23009664058904741</v>
      </c>
      <c r="N54" s="22">
        <f t="shared" si="7"/>
        <v>5.6272202480826566E-2</v>
      </c>
      <c r="O54" s="63"/>
    </row>
    <row r="55" spans="1:15" ht="33">
      <c r="A55" s="62"/>
      <c r="B55" s="52"/>
      <c r="C55" s="14" t="s">
        <v>86</v>
      </c>
      <c r="D55" s="16" t="s">
        <v>36</v>
      </c>
      <c r="E55" s="24">
        <v>30</v>
      </c>
      <c r="F55" s="25">
        <f>12500/1746</f>
        <v>7.1592210767468503</v>
      </c>
      <c r="G55" s="50">
        <f t="shared" si="2"/>
        <v>214.77663230240552</v>
      </c>
      <c r="H55" s="25">
        <v>0</v>
      </c>
      <c r="I55" s="25">
        <f t="shared" si="1"/>
        <v>214.77663230240552</v>
      </c>
      <c r="J55" s="20">
        <v>30</v>
      </c>
      <c r="K55" s="21">
        <v>12500</v>
      </c>
      <c r="L55" s="21">
        <f t="shared" si="6"/>
        <v>375000</v>
      </c>
      <c r="M55" s="22">
        <f t="shared" si="8"/>
        <v>172.57248044178556</v>
      </c>
      <c r="N55" s="22">
        <f t="shared" si="7"/>
        <v>42.204151860619959</v>
      </c>
      <c r="O55" s="63"/>
    </row>
    <row r="56" spans="1:15" ht="33">
      <c r="A56" s="62"/>
      <c r="B56" s="52"/>
      <c r="C56" s="14" t="s">
        <v>49</v>
      </c>
      <c r="D56" s="24" t="s">
        <v>41</v>
      </c>
      <c r="E56" s="24" t="s">
        <v>41</v>
      </c>
      <c r="F56" s="25">
        <v>410</v>
      </c>
      <c r="G56" s="25">
        <v>0</v>
      </c>
      <c r="H56" s="25">
        <v>410</v>
      </c>
      <c r="I56" s="25">
        <f t="shared" si="1"/>
        <v>410</v>
      </c>
      <c r="J56" s="17"/>
      <c r="K56" s="17"/>
      <c r="L56" s="17"/>
      <c r="M56" s="17"/>
      <c r="N56" s="17"/>
      <c r="O56" s="63"/>
    </row>
    <row r="57" spans="1:15" ht="83.25" customHeight="1">
      <c r="A57" s="62"/>
      <c r="B57" s="52" t="s">
        <v>87</v>
      </c>
      <c r="C57" s="14" t="s">
        <v>88</v>
      </c>
      <c r="D57" s="16" t="s">
        <v>46</v>
      </c>
      <c r="E57" s="24">
        <v>22</v>
      </c>
      <c r="F57" s="25">
        <f>295000/1746</f>
        <v>168.95761741122567</v>
      </c>
      <c r="G57" s="50">
        <f t="shared" si="2"/>
        <v>3717.0675830469645</v>
      </c>
      <c r="H57" s="25">
        <v>0</v>
      </c>
      <c r="I57" s="25">
        <f t="shared" si="1"/>
        <v>3717.0675830469645</v>
      </c>
      <c r="J57" s="20">
        <v>22</v>
      </c>
      <c r="K57" s="21">
        <v>295000</v>
      </c>
      <c r="L57" s="21">
        <f>J57*K57</f>
        <v>6490000</v>
      </c>
      <c r="M57" s="22">
        <f>L57/2173</f>
        <v>2986.6543948458352</v>
      </c>
      <c r="N57" s="22">
        <f>G57-M57</f>
        <v>730.41318820112929</v>
      </c>
      <c r="O57" s="63" t="s">
        <v>89</v>
      </c>
    </row>
    <row r="58" spans="1:15" ht="33">
      <c r="A58" s="62"/>
      <c r="B58" s="52"/>
      <c r="C58" s="14" t="s">
        <v>90</v>
      </c>
      <c r="D58" s="16" t="s">
        <v>46</v>
      </c>
      <c r="E58" s="24">
        <v>18</v>
      </c>
      <c r="F58" s="25">
        <f>8500/1746</f>
        <v>4.8682703321878575</v>
      </c>
      <c r="G58" s="50">
        <f t="shared" si="2"/>
        <v>87.62886597938143</v>
      </c>
      <c r="H58" s="25">
        <v>0</v>
      </c>
      <c r="I58" s="25">
        <f t="shared" si="1"/>
        <v>87.62886597938143</v>
      </c>
      <c r="J58" s="20">
        <v>18</v>
      </c>
      <c r="K58" s="21">
        <v>8500</v>
      </c>
      <c r="L58" s="21">
        <f>J58*K58</f>
        <v>153000</v>
      </c>
      <c r="M58" s="22">
        <f>L58/2173</f>
        <v>70.409572020248504</v>
      </c>
      <c r="N58" s="22">
        <f>G58-M58</f>
        <v>17.219293959132926</v>
      </c>
      <c r="O58" s="63"/>
    </row>
    <row r="59" spans="1:15" ht="33.75" customHeight="1">
      <c r="A59" s="62"/>
      <c r="B59" s="52"/>
      <c r="C59" s="14" t="s">
        <v>91</v>
      </c>
      <c r="D59" s="16" t="s">
        <v>46</v>
      </c>
      <c r="E59" s="24">
        <v>25</v>
      </c>
      <c r="F59" s="25">
        <f>12000/1746</f>
        <v>6.8728522336769755</v>
      </c>
      <c r="G59" s="50">
        <f t="shared" si="2"/>
        <v>171.82130584192439</v>
      </c>
      <c r="H59" s="25">
        <v>0</v>
      </c>
      <c r="I59" s="25">
        <f t="shared" si="1"/>
        <v>171.82130584192439</v>
      </c>
      <c r="J59" s="20">
        <v>25</v>
      </c>
      <c r="K59" s="21">
        <v>12000</v>
      </c>
      <c r="L59" s="21">
        <f>J59*K59</f>
        <v>300000</v>
      </c>
      <c r="M59" s="22">
        <f>L59/2173</f>
        <v>138.05798435342845</v>
      </c>
      <c r="N59" s="22">
        <f>G59-M59</f>
        <v>33.763321488495933</v>
      </c>
      <c r="O59" s="63"/>
    </row>
    <row r="60" spans="1:15">
      <c r="A60" s="62"/>
      <c r="B60" s="52"/>
      <c r="C60" s="14" t="s">
        <v>92</v>
      </c>
      <c r="D60" s="16" t="s">
        <v>36</v>
      </c>
      <c r="E60" s="24">
        <v>6</v>
      </c>
      <c r="F60" s="25">
        <f>15000/1746</f>
        <v>8.5910652920962196</v>
      </c>
      <c r="G60" s="50">
        <f t="shared" si="2"/>
        <v>51.546391752577321</v>
      </c>
      <c r="H60" s="25">
        <v>0</v>
      </c>
      <c r="I60" s="25">
        <f t="shared" si="1"/>
        <v>51.546391752577321</v>
      </c>
      <c r="J60" s="20">
        <v>6</v>
      </c>
      <c r="K60" s="21">
        <v>15000</v>
      </c>
      <c r="L60" s="21">
        <f>J60*K60</f>
        <v>90000</v>
      </c>
      <c r="M60" s="22">
        <f>L60/2173</f>
        <v>41.417395306028531</v>
      </c>
      <c r="N60" s="22">
        <f>G60-M60</f>
        <v>10.12899644654879</v>
      </c>
      <c r="O60" s="63"/>
    </row>
    <row r="61" spans="1:15">
      <c r="A61" s="62"/>
      <c r="B61" s="52"/>
      <c r="C61" s="63" t="s">
        <v>49</v>
      </c>
      <c r="D61" s="55" t="s">
        <v>41</v>
      </c>
      <c r="E61" s="55" t="s">
        <v>41</v>
      </c>
      <c r="F61" s="57">
        <v>300</v>
      </c>
      <c r="G61" s="57">
        <v>0</v>
      </c>
      <c r="H61" s="57">
        <v>300</v>
      </c>
      <c r="I61" s="59">
        <f>G61+H61</f>
        <v>300</v>
      </c>
      <c r="J61" s="19"/>
      <c r="K61" s="26"/>
      <c r="L61" s="26">
        <f>J61*K61</f>
        <v>0</v>
      </c>
      <c r="M61" s="26"/>
      <c r="N61" s="17"/>
      <c r="O61" s="63"/>
    </row>
    <row r="62" spans="1:15">
      <c r="A62" s="62"/>
      <c r="B62" s="52"/>
      <c r="C62" s="63"/>
      <c r="D62" s="56"/>
      <c r="E62" s="56"/>
      <c r="F62" s="57"/>
      <c r="G62" s="57"/>
      <c r="H62" s="57"/>
      <c r="I62" s="60"/>
      <c r="J62" s="17"/>
      <c r="K62" s="17"/>
      <c r="L62" s="17"/>
      <c r="M62" s="17"/>
      <c r="N62" s="17"/>
      <c r="O62" s="63"/>
    </row>
    <row r="63" spans="1:15" ht="165">
      <c r="A63" s="62" t="s">
        <v>93</v>
      </c>
      <c r="B63" s="27" t="s">
        <v>136</v>
      </c>
      <c r="C63" s="15" t="s">
        <v>137</v>
      </c>
      <c r="D63" s="23" t="s">
        <v>133</v>
      </c>
      <c r="E63" s="24">
        <v>1</v>
      </c>
      <c r="F63" s="25">
        <v>3840</v>
      </c>
      <c r="G63" s="50">
        <f t="shared" ref="G63:G64" si="9">E63*F63</f>
        <v>3840</v>
      </c>
      <c r="H63" s="25">
        <v>0</v>
      </c>
      <c r="I63" s="25">
        <f>G63+H63</f>
        <v>3840</v>
      </c>
      <c r="J63" s="24"/>
      <c r="K63" s="24"/>
      <c r="L63" s="24"/>
      <c r="M63" s="24"/>
      <c r="N63" s="24"/>
      <c r="O63" s="18"/>
    </row>
    <row r="64" spans="1:15" ht="66">
      <c r="A64" s="62"/>
      <c r="B64" s="15" t="s">
        <v>94</v>
      </c>
      <c r="C64" s="14" t="s">
        <v>95</v>
      </c>
      <c r="D64" s="16" t="s">
        <v>96</v>
      </c>
      <c r="E64" s="24">
        <v>100</v>
      </c>
      <c r="F64" s="25">
        <v>43</v>
      </c>
      <c r="G64" s="50">
        <f t="shared" si="9"/>
        <v>4300</v>
      </c>
      <c r="H64" s="25">
        <v>0</v>
      </c>
      <c r="I64" s="25">
        <f t="shared" ref="I64:I86" si="10">G64+H64</f>
        <v>4300</v>
      </c>
      <c r="J64" s="20">
        <v>100000</v>
      </c>
      <c r="K64" s="22">
        <v>0.04</v>
      </c>
      <c r="L64" s="28"/>
      <c r="M64" s="22">
        <f>J64*K64</f>
        <v>4000</v>
      </c>
      <c r="N64" s="22">
        <f>G64-M64</f>
        <v>300</v>
      </c>
      <c r="O64" s="14" t="s">
        <v>97</v>
      </c>
    </row>
    <row r="65" spans="1:21" ht="64.5" customHeight="1">
      <c r="A65" s="53" t="s">
        <v>127</v>
      </c>
      <c r="B65" s="54" t="s">
        <v>120</v>
      </c>
      <c r="C65" s="10" t="s">
        <v>121</v>
      </c>
      <c r="D65" s="11" t="s">
        <v>122</v>
      </c>
      <c r="E65" s="11">
        <v>1</v>
      </c>
      <c r="F65" s="46">
        <v>362.5</v>
      </c>
      <c r="G65" s="51">
        <f>E65*F65</f>
        <v>362.5</v>
      </c>
      <c r="H65" s="46">
        <v>0</v>
      </c>
      <c r="I65" s="46">
        <f t="shared" si="10"/>
        <v>362.5</v>
      </c>
      <c r="J65" s="9">
        <v>1</v>
      </c>
      <c r="K65" s="8">
        <v>362.5</v>
      </c>
      <c r="L65" s="8">
        <f>J65*K65</f>
        <v>362.5</v>
      </c>
      <c r="M65" s="8">
        <f>G65-L65</f>
        <v>0</v>
      </c>
      <c r="N65" s="29"/>
      <c r="O65" s="14"/>
    </row>
    <row r="66" spans="1:21" ht="82.5">
      <c r="A66" s="53"/>
      <c r="B66" s="54"/>
      <c r="C66" s="10" t="s">
        <v>123</v>
      </c>
      <c r="D66" s="11" t="s">
        <v>122</v>
      </c>
      <c r="E66" s="11">
        <v>1</v>
      </c>
      <c r="F66" s="46">
        <v>1312.5</v>
      </c>
      <c r="G66" s="51">
        <f>E66*F66</f>
        <v>1312.5</v>
      </c>
      <c r="H66" s="46">
        <v>0</v>
      </c>
      <c r="I66" s="46">
        <f t="shared" si="10"/>
        <v>1312.5</v>
      </c>
      <c r="J66" s="9">
        <v>1</v>
      </c>
      <c r="K66" s="8">
        <v>1312.5</v>
      </c>
      <c r="L66" s="8">
        <f>J66*K66</f>
        <v>1312.5</v>
      </c>
      <c r="M66" s="8">
        <f>G66-L66</f>
        <v>0</v>
      </c>
      <c r="N66" s="29"/>
      <c r="O66" s="14"/>
    </row>
    <row r="67" spans="1:21" ht="132">
      <c r="A67" s="53"/>
      <c r="B67" s="54"/>
      <c r="C67" s="10" t="s">
        <v>124</v>
      </c>
      <c r="D67" s="11" t="s">
        <v>122</v>
      </c>
      <c r="E67" s="11">
        <v>1</v>
      </c>
      <c r="F67" s="46">
        <v>2812.5</v>
      </c>
      <c r="G67" s="51">
        <f>E67*F67</f>
        <v>2812.5</v>
      </c>
      <c r="H67" s="46">
        <v>0</v>
      </c>
      <c r="I67" s="46">
        <f t="shared" si="10"/>
        <v>2812.5</v>
      </c>
      <c r="J67" s="9">
        <v>1</v>
      </c>
      <c r="K67" s="8">
        <v>2812.5</v>
      </c>
      <c r="L67" s="8">
        <f>J67*K67</f>
        <v>2812.5</v>
      </c>
      <c r="M67" s="8">
        <f>G67-L67</f>
        <v>0</v>
      </c>
      <c r="N67" s="29"/>
      <c r="O67" s="14"/>
    </row>
    <row r="68" spans="1:21" ht="99">
      <c r="A68" s="53"/>
      <c r="B68" s="54"/>
      <c r="C68" s="10" t="s">
        <v>125</v>
      </c>
      <c r="D68" s="11" t="s">
        <v>122</v>
      </c>
      <c r="E68" s="11">
        <v>1</v>
      </c>
      <c r="F68" s="46">
        <v>2687.5</v>
      </c>
      <c r="G68" s="51">
        <f>E68*F68</f>
        <v>2687.5</v>
      </c>
      <c r="H68" s="46">
        <v>0</v>
      </c>
      <c r="I68" s="46">
        <f t="shared" si="10"/>
        <v>2687.5</v>
      </c>
      <c r="J68" s="9">
        <v>1</v>
      </c>
      <c r="K68" s="8">
        <v>2687.5</v>
      </c>
      <c r="L68" s="8">
        <f>J68*K68</f>
        <v>2687.5</v>
      </c>
      <c r="M68" s="8">
        <f>G68-L68</f>
        <v>0</v>
      </c>
      <c r="N68" s="29"/>
      <c r="O68" s="14"/>
    </row>
    <row r="69" spans="1:21" ht="116.25" customHeight="1">
      <c r="A69" s="53"/>
      <c r="B69" s="54"/>
      <c r="C69" s="10" t="s">
        <v>126</v>
      </c>
      <c r="D69" s="11" t="s">
        <v>70</v>
      </c>
      <c r="E69" s="11">
        <v>1</v>
      </c>
      <c r="F69" s="46">
        <v>827</v>
      </c>
      <c r="G69" s="51">
        <f>E69*F69</f>
        <v>827</v>
      </c>
      <c r="H69" s="46">
        <v>0</v>
      </c>
      <c r="I69" s="46">
        <f t="shared" si="10"/>
        <v>827</v>
      </c>
      <c r="J69" s="9">
        <v>1</v>
      </c>
      <c r="K69" s="8">
        <v>827</v>
      </c>
      <c r="L69" s="8">
        <f>J69*K69</f>
        <v>827</v>
      </c>
      <c r="M69" s="8">
        <f>G69-L69</f>
        <v>0</v>
      </c>
      <c r="N69" s="29"/>
      <c r="O69" s="14"/>
    </row>
    <row r="70" spans="1:21" ht="33.75" customHeight="1">
      <c r="A70" s="62" t="s">
        <v>129</v>
      </c>
      <c r="B70" s="52" t="s">
        <v>98</v>
      </c>
      <c r="C70" s="14" t="s">
        <v>99</v>
      </c>
      <c r="D70" s="16" t="s">
        <v>46</v>
      </c>
      <c r="E70" s="24">
        <v>1</v>
      </c>
      <c r="F70" s="30">
        <v>3600</v>
      </c>
      <c r="G70" s="50">
        <f t="shared" ref="G70:G73" si="11">E70*F70</f>
        <v>3600</v>
      </c>
      <c r="H70" s="25">
        <v>0</v>
      </c>
      <c r="I70" s="25">
        <f>G70+H70</f>
        <v>3600</v>
      </c>
      <c r="J70" s="19"/>
      <c r="K70" s="30"/>
      <c r="L70" s="17"/>
      <c r="M70" s="30"/>
      <c r="N70" s="17"/>
      <c r="O70" s="14" t="s">
        <v>99</v>
      </c>
    </row>
    <row r="71" spans="1:21">
      <c r="A71" s="62"/>
      <c r="B71" s="52"/>
      <c r="C71" s="14" t="s">
        <v>100</v>
      </c>
      <c r="D71" s="16" t="s">
        <v>46</v>
      </c>
      <c r="E71" s="24">
        <v>1</v>
      </c>
      <c r="F71" s="30">
        <v>543</v>
      </c>
      <c r="G71" s="50">
        <f t="shared" si="11"/>
        <v>543</v>
      </c>
      <c r="H71" s="25">
        <v>0</v>
      </c>
      <c r="I71" s="25">
        <f t="shared" si="10"/>
        <v>543</v>
      </c>
      <c r="J71" s="20">
        <v>1</v>
      </c>
      <c r="K71" s="22">
        <v>543</v>
      </c>
      <c r="L71" s="28"/>
      <c r="M71" s="22">
        <f>J71*K71</f>
        <v>543</v>
      </c>
      <c r="N71" s="22">
        <f>G71-M71</f>
        <v>0</v>
      </c>
      <c r="O71" s="14" t="s">
        <v>100</v>
      </c>
    </row>
    <row r="72" spans="1:21">
      <c r="A72" s="62"/>
      <c r="B72" s="52"/>
      <c r="C72" s="14" t="s">
        <v>101</v>
      </c>
      <c r="D72" s="16" t="s">
        <v>46</v>
      </c>
      <c r="E72" s="24">
        <v>1</v>
      </c>
      <c r="F72" s="30">
        <v>3437.5</v>
      </c>
      <c r="G72" s="50">
        <f t="shared" si="11"/>
        <v>3437.5</v>
      </c>
      <c r="H72" s="25">
        <v>0</v>
      </c>
      <c r="I72" s="25">
        <f t="shared" si="10"/>
        <v>3437.5</v>
      </c>
      <c r="J72" s="20">
        <v>1</v>
      </c>
      <c r="K72" s="22">
        <v>3437.5</v>
      </c>
      <c r="L72" s="28"/>
      <c r="M72" s="22">
        <v>3437.5</v>
      </c>
      <c r="N72" s="22">
        <f>G72-M72</f>
        <v>0</v>
      </c>
      <c r="O72" s="14" t="s">
        <v>101</v>
      </c>
    </row>
    <row r="73" spans="1:21" ht="33">
      <c r="A73" s="62"/>
      <c r="B73" s="52"/>
      <c r="C73" s="14" t="s">
        <v>102</v>
      </c>
      <c r="D73" s="16" t="s">
        <v>46</v>
      </c>
      <c r="E73" s="24">
        <v>5000</v>
      </c>
      <c r="F73" s="30">
        <v>0.12</v>
      </c>
      <c r="G73" s="50">
        <f t="shared" si="11"/>
        <v>600</v>
      </c>
      <c r="H73" s="25">
        <v>0</v>
      </c>
      <c r="I73" s="25">
        <f t="shared" si="10"/>
        <v>600</v>
      </c>
      <c r="J73" s="20">
        <v>5000</v>
      </c>
      <c r="K73" s="22">
        <v>0.12</v>
      </c>
      <c r="L73" s="28"/>
      <c r="M73" s="22">
        <f>J73*K73</f>
        <v>600</v>
      </c>
      <c r="N73" s="22">
        <f>G73-M73</f>
        <v>0</v>
      </c>
      <c r="O73" s="14" t="s">
        <v>102</v>
      </c>
    </row>
    <row r="74" spans="1:21" ht="50.25" customHeight="1">
      <c r="A74" s="62"/>
      <c r="B74" s="52" t="s">
        <v>103</v>
      </c>
      <c r="C74" s="63" t="s">
        <v>63</v>
      </c>
      <c r="D74" s="66" t="s">
        <v>104</v>
      </c>
      <c r="E74" s="61" t="s">
        <v>41</v>
      </c>
      <c r="F74" s="57" t="s">
        <v>41</v>
      </c>
      <c r="G74" s="57">
        <v>0</v>
      </c>
      <c r="H74" s="57">
        <v>690.3</v>
      </c>
      <c r="I74" s="59">
        <f>G74+H74</f>
        <v>690.3</v>
      </c>
      <c r="J74" s="19"/>
      <c r="K74" s="30"/>
      <c r="L74" s="17"/>
      <c r="M74" s="30"/>
      <c r="N74" s="17"/>
      <c r="O74" s="63" t="s">
        <v>131</v>
      </c>
    </row>
    <row r="75" spans="1:21">
      <c r="A75" s="62"/>
      <c r="B75" s="52"/>
      <c r="C75" s="63"/>
      <c r="D75" s="66"/>
      <c r="E75" s="61"/>
      <c r="F75" s="57"/>
      <c r="G75" s="57"/>
      <c r="H75" s="57"/>
      <c r="I75" s="68"/>
      <c r="J75" s="19"/>
      <c r="K75" s="30"/>
      <c r="L75" s="17"/>
      <c r="M75" s="30"/>
      <c r="N75" s="17"/>
      <c r="O75" s="63"/>
    </row>
    <row r="76" spans="1:21">
      <c r="A76" s="62"/>
      <c r="B76" s="52"/>
      <c r="C76" s="63"/>
      <c r="D76" s="66"/>
      <c r="E76" s="61"/>
      <c r="F76" s="57"/>
      <c r="G76" s="57"/>
      <c r="H76" s="57"/>
      <c r="I76" s="60"/>
      <c r="J76" s="17"/>
      <c r="K76" s="17"/>
      <c r="L76" s="17"/>
      <c r="M76" s="17"/>
      <c r="N76" s="17"/>
      <c r="O76" s="63"/>
    </row>
    <row r="77" spans="1:21" ht="82.5">
      <c r="A77" s="62" t="s">
        <v>128</v>
      </c>
      <c r="B77" s="15" t="s">
        <v>141</v>
      </c>
      <c r="C77" s="14" t="s">
        <v>138</v>
      </c>
      <c r="D77" s="16" t="s">
        <v>133</v>
      </c>
      <c r="E77" s="24">
        <v>1</v>
      </c>
      <c r="F77" s="25">
        <v>450</v>
      </c>
      <c r="G77" s="50">
        <f t="shared" ref="G77:G87" si="12">E77*F77</f>
        <v>450</v>
      </c>
      <c r="H77" s="25">
        <v>0</v>
      </c>
      <c r="I77" s="25">
        <f t="shared" si="10"/>
        <v>450</v>
      </c>
      <c r="J77" s="17"/>
      <c r="K77" s="17"/>
      <c r="L77" s="17"/>
      <c r="M77" s="17"/>
      <c r="N77" s="17"/>
      <c r="O77" s="14" t="s">
        <v>132</v>
      </c>
    </row>
    <row r="78" spans="1:21" ht="17.25" customHeight="1">
      <c r="A78" s="62"/>
      <c r="B78" s="52" t="s">
        <v>105</v>
      </c>
      <c r="C78" s="14" t="s">
        <v>146</v>
      </c>
      <c r="D78" s="16" t="s">
        <v>133</v>
      </c>
      <c r="E78" s="24">
        <v>500</v>
      </c>
      <c r="F78" s="25">
        <v>3</v>
      </c>
      <c r="G78" s="50">
        <f t="shared" si="12"/>
        <v>1500</v>
      </c>
      <c r="H78" s="25">
        <v>0</v>
      </c>
      <c r="I78" s="25">
        <f t="shared" si="10"/>
        <v>1500</v>
      </c>
      <c r="J78" s="17"/>
      <c r="K78" s="17"/>
      <c r="L78" s="17"/>
      <c r="M78" s="17"/>
      <c r="N78" s="17"/>
      <c r="O78" s="49"/>
    </row>
    <row r="79" spans="1:21" ht="49.5">
      <c r="A79" s="62"/>
      <c r="B79" s="52"/>
      <c r="C79" s="18" t="s">
        <v>152</v>
      </c>
      <c r="D79" s="23" t="s">
        <v>106</v>
      </c>
      <c r="E79" s="24">
        <v>1</v>
      </c>
      <c r="F79" s="25">
        <v>1500</v>
      </c>
      <c r="G79" s="72">
        <f t="shared" si="12"/>
        <v>1500</v>
      </c>
      <c r="H79" s="25">
        <v>0</v>
      </c>
      <c r="I79" s="25">
        <f t="shared" si="10"/>
        <v>1500</v>
      </c>
      <c r="J79" s="17"/>
      <c r="K79" s="17"/>
      <c r="L79" s="17"/>
      <c r="M79" s="17"/>
      <c r="N79" s="17"/>
      <c r="O79" s="18" t="s">
        <v>135</v>
      </c>
      <c r="P79" s="2"/>
      <c r="Q79" s="2"/>
      <c r="R79" s="2"/>
      <c r="S79" s="2"/>
      <c r="T79" s="2"/>
      <c r="U79" s="2"/>
    </row>
    <row r="80" spans="1:21">
      <c r="A80" s="62"/>
      <c r="B80" s="52"/>
      <c r="C80" s="14" t="s">
        <v>145</v>
      </c>
      <c r="D80" s="16" t="s">
        <v>144</v>
      </c>
      <c r="E80" s="24">
        <v>1</v>
      </c>
      <c r="F80" s="25">
        <f>15*70</f>
        <v>1050</v>
      </c>
      <c r="G80" s="50">
        <f t="shared" si="12"/>
        <v>1050</v>
      </c>
      <c r="H80" s="25">
        <v>0</v>
      </c>
      <c r="I80" s="25">
        <f t="shared" si="10"/>
        <v>1050</v>
      </c>
      <c r="J80" s="17"/>
      <c r="K80" s="17"/>
      <c r="L80" s="17"/>
      <c r="M80" s="17"/>
      <c r="N80" s="17"/>
      <c r="O80" s="14" t="s">
        <v>147</v>
      </c>
    </row>
    <row r="81" spans="1:24" ht="82.5">
      <c r="A81" s="62"/>
      <c r="B81" s="15" t="s">
        <v>142</v>
      </c>
      <c r="C81" s="14" t="s">
        <v>143</v>
      </c>
      <c r="D81" s="16" t="s">
        <v>144</v>
      </c>
      <c r="E81" s="24">
        <v>1</v>
      </c>
      <c r="F81" s="25">
        <v>1500</v>
      </c>
      <c r="G81" s="72">
        <f t="shared" si="12"/>
        <v>1500</v>
      </c>
      <c r="H81" s="25">
        <v>0</v>
      </c>
      <c r="I81" s="25">
        <f t="shared" si="10"/>
        <v>1500</v>
      </c>
      <c r="J81" s="17"/>
      <c r="K81" s="17"/>
      <c r="L81" s="17"/>
      <c r="M81" s="17"/>
      <c r="N81" s="17"/>
      <c r="O81" s="14" t="s">
        <v>151</v>
      </c>
    </row>
    <row r="82" spans="1:24">
      <c r="A82" s="62"/>
      <c r="B82" s="15" t="s">
        <v>149</v>
      </c>
      <c r="C82" s="18" t="s">
        <v>148</v>
      </c>
      <c r="D82" s="23" t="s">
        <v>108</v>
      </c>
      <c r="E82" s="24">
        <v>25</v>
      </c>
      <c r="F82" s="25">
        <v>5</v>
      </c>
      <c r="G82" s="50">
        <f t="shared" si="12"/>
        <v>125</v>
      </c>
      <c r="H82" s="25">
        <v>0</v>
      </c>
      <c r="I82" s="25">
        <f t="shared" si="10"/>
        <v>125</v>
      </c>
      <c r="J82" s="24"/>
      <c r="K82" s="24"/>
      <c r="L82" s="24"/>
      <c r="M82" s="24"/>
      <c r="N82" s="24"/>
      <c r="O82" s="18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hidden="1" customHeight="1">
      <c r="A83" s="62"/>
      <c r="B83" s="15" t="s">
        <v>107</v>
      </c>
      <c r="C83" s="63"/>
      <c r="D83" s="66"/>
      <c r="E83" s="61"/>
      <c r="F83" s="25"/>
      <c r="G83" s="50">
        <f t="shared" si="12"/>
        <v>0</v>
      </c>
      <c r="H83" s="25"/>
      <c r="I83" s="25">
        <f t="shared" si="10"/>
        <v>0</v>
      </c>
      <c r="J83" s="24"/>
      <c r="K83" s="24"/>
      <c r="L83" s="24"/>
      <c r="M83" s="24"/>
      <c r="N83" s="24"/>
      <c r="O83" s="63"/>
      <c r="P83" s="43"/>
      <c r="Q83" s="44"/>
      <c r="R83" s="44"/>
      <c r="S83" s="44"/>
      <c r="T83" s="44"/>
    </row>
    <row r="84" spans="1:24" ht="13.5" hidden="1" customHeight="1" thickBot="1">
      <c r="A84" s="62"/>
      <c r="B84" s="15"/>
      <c r="C84" s="63"/>
      <c r="D84" s="66"/>
      <c r="E84" s="61"/>
      <c r="F84" s="25"/>
      <c r="G84" s="50">
        <f t="shared" si="12"/>
        <v>0</v>
      </c>
      <c r="H84" s="25"/>
      <c r="I84" s="25">
        <f t="shared" si="10"/>
        <v>0</v>
      </c>
      <c r="J84" s="24"/>
      <c r="K84" s="24"/>
      <c r="L84" s="24"/>
      <c r="M84" s="24"/>
      <c r="N84" s="24"/>
      <c r="O84" s="63"/>
      <c r="P84" s="43"/>
      <c r="Q84" s="44"/>
      <c r="R84" s="44"/>
      <c r="S84" s="44"/>
      <c r="T84" s="44"/>
    </row>
    <row r="85" spans="1:24">
      <c r="A85" s="62"/>
      <c r="B85" s="15" t="s">
        <v>150</v>
      </c>
      <c r="C85" s="18" t="s">
        <v>148</v>
      </c>
      <c r="D85" s="23" t="s">
        <v>108</v>
      </c>
      <c r="E85" s="24">
        <v>25</v>
      </c>
      <c r="F85" s="25">
        <v>5</v>
      </c>
      <c r="G85" s="50">
        <f t="shared" si="12"/>
        <v>125</v>
      </c>
      <c r="H85" s="25">
        <v>0</v>
      </c>
      <c r="I85" s="25">
        <f t="shared" si="10"/>
        <v>125</v>
      </c>
      <c r="J85" s="24"/>
      <c r="K85" s="24"/>
      <c r="L85" s="24"/>
      <c r="M85" s="24"/>
      <c r="N85" s="24"/>
      <c r="O85" s="18"/>
      <c r="P85" s="43"/>
      <c r="Q85" s="44"/>
      <c r="R85" s="44"/>
      <c r="S85" s="44"/>
      <c r="T85" s="44"/>
    </row>
    <row r="86" spans="1:24" ht="47.25" customHeight="1">
      <c r="A86" s="65" t="s">
        <v>109</v>
      </c>
      <c r="B86" s="52" t="s">
        <v>110</v>
      </c>
      <c r="C86" s="18" t="s">
        <v>111</v>
      </c>
      <c r="D86" s="23" t="s">
        <v>112</v>
      </c>
      <c r="E86" s="24">
        <v>12</v>
      </c>
      <c r="F86" s="25">
        <v>225</v>
      </c>
      <c r="G86" s="72">
        <f t="shared" si="12"/>
        <v>2700</v>
      </c>
      <c r="H86" s="25">
        <v>0</v>
      </c>
      <c r="I86" s="25">
        <f t="shared" si="10"/>
        <v>2700</v>
      </c>
      <c r="J86" s="24"/>
      <c r="K86" s="24"/>
      <c r="L86" s="24"/>
      <c r="M86" s="24"/>
      <c r="N86" s="24"/>
      <c r="O86" s="18" t="s">
        <v>134</v>
      </c>
      <c r="P86" s="43"/>
      <c r="Q86" s="44"/>
      <c r="R86" s="44"/>
      <c r="S86" s="44"/>
      <c r="T86" s="44"/>
    </row>
    <row r="87" spans="1:24">
      <c r="A87" s="65"/>
      <c r="B87" s="52"/>
      <c r="C87" s="18" t="s">
        <v>113</v>
      </c>
      <c r="D87" s="23" t="s">
        <v>112</v>
      </c>
      <c r="E87" s="24">
        <v>12</v>
      </c>
      <c r="F87" s="25">
        <v>225</v>
      </c>
      <c r="G87" s="72">
        <f t="shared" si="12"/>
        <v>2700</v>
      </c>
      <c r="H87" s="25">
        <v>0</v>
      </c>
      <c r="I87" s="48">
        <f>G87+H87</f>
        <v>2700</v>
      </c>
      <c r="J87" s="24"/>
      <c r="K87" s="24"/>
      <c r="L87" s="24"/>
      <c r="M87" s="24"/>
      <c r="N87" s="24"/>
      <c r="O87" s="18" t="s">
        <v>135</v>
      </c>
      <c r="P87" s="43"/>
      <c r="Q87" s="44"/>
      <c r="R87" s="44"/>
      <c r="S87" s="44"/>
      <c r="T87" s="44"/>
    </row>
    <row r="88" spans="1:24">
      <c r="A88" s="31"/>
      <c r="B88" s="15"/>
      <c r="C88" s="14"/>
      <c r="D88" s="16"/>
      <c r="E88" s="24"/>
      <c r="F88" s="25"/>
      <c r="G88" s="25"/>
      <c r="H88" s="25"/>
      <c r="I88" s="25"/>
      <c r="J88" s="17"/>
      <c r="K88" s="17"/>
      <c r="L88" s="17"/>
      <c r="M88" s="17"/>
      <c r="N88" s="17"/>
      <c r="O88" s="14"/>
      <c r="P88" s="2"/>
      <c r="Q88" s="2"/>
      <c r="R88" s="2"/>
      <c r="S88" s="2"/>
      <c r="T88" s="2"/>
    </row>
    <row r="89" spans="1:24">
      <c r="A89" s="31"/>
      <c r="B89" s="15"/>
      <c r="C89" s="14"/>
      <c r="D89" s="16"/>
      <c r="E89" s="24"/>
      <c r="F89" s="25"/>
      <c r="G89" s="25"/>
      <c r="H89" s="25"/>
      <c r="I89" s="25"/>
      <c r="J89" s="17"/>
      <c r="K89" s="17"/>
      <c r="L89" s="17"/>
      <c r="M89" s="17"/>
      <c r="N89" s="17"/>
      <c r="O89" s="14"/>
      <c r="P89" s="2"/>
      <c r="Q89" s="2"/>
      <c r="R89" s="2"/>
      <c r="S89" s="2"/>
      <c r="T89" s="2"/>
    </row>
    <row r="90" spans="1:24">
      <c r="A90" s="31" t="s">
        <v>130</v>
      </c>
      <c r="B90" s="15"/>
      <c r="C90" s="14"/>
      <c r="D90" s="16"/>
      <c r="E90" s="24"/>
      <c r="F90" s="25"/>
      <c r="G90" s="25">
        <f>SUM(G5:G87)</f>
        <v>47616.715349369988</v>
      </c>
      <c r="H90" s="25">
        <f>SUM(H5:H87)</f>
        <v>45058.600000000006</v>
      </c>
      <c r="I90" s="25">
        <f>SUM(I5:I87)</f>
        <v>92675.315349370008</v>
      </c>
      <c r="J90" s="17"/>
      <c r="K90" s="17"/>
      <c r="L90" s="17"/>
      <c r="M90" s="17"/>
      <c r="N90" s="17"/>
      <c r="O90" s="14"/>
      <c r="P90" s="2"/>
      <c r="Q90" s="2"/>
      <c r="R90" s="2"/>
      <c r="S90" s="2"/>
      <c r="T90" s="2"/>
    </row>
    <row r="91" spans="1:24" ht="33">
      <c r="A91" s="32" t="s">
        <v>114</v>
      </c>
      <c r="B91" s="33" t="s">
        <v>114</v>
      </c>
      <c r="C91" s="34" t="s">
        <v>41</v>
      </c>
      <c r="D91" s="34" t="s">
        <v>41</v>
      </c>
      <c r="E91" s="35" t="s">
        <v>41</v>
      </c>
      <c r="F91" s="35" t="s">
        <v>41</v>
      </c>
      <c r="G91" s="42">
        <f>G90*5%+2.4</f>
        <v>2383.2357674684995</v>
      </c>
      <c r="H91" s="36">
        <v>0</v>
      </c>
      <c r="I91" s="36">
        <f>G91+H91</f>
        <v>2383.2357674684995</v>
      </c>
      <c r="J91" s="35"/>
      <c r="K91" s="35"/>
      <c r="L91" s="35"/>
      <c r="M91" s="35"/>
      <c r="N91" s="35"/>
      <c r="O91" s="14"/>
      <c r="P91" s="2"/>
      <c r="Q91" s="2"/>
      <c r="R91" s="2"/>
      <c r="S91" s="2"/>
      <c r="T91" s="2"/>
    </row>
    <row r="92" spans="1:24">
      <c r="A92" s="37" t="s">
        <v>115</v>
      </c>
      <c r="B92" s="38"/>
      <c r="C92" s="38"/>
      <c r="D92" s="39"/>
      <c r="E92" s="40"/>
      <c r="F92" s="40"/>
      <c r="G92" s="47">
        <f>G90+G91</f>
        <v>49999.951116838485</v>
      </c>
      <c r="H92" s="47">
        <f>H90+H91</f>
        <v>45058.600000000006</v>
      </c>
      <c r="I92" s="47">
        <f>I90+I91</f>
        <v>95058.551116838513</v>
      </c>
      <c r="J92" s="41"/>
      <c r="K92" s="41"/>
      <c r="L92" s="41"/>
      <c r="M92" s="41"/>
      <c r="N92" s="41"/>
      <c r="O92" s="38"/>
      <c r="P92" s="2"/>
      <c r="Q92" s="2"/>
      <c r="R92" s="2"/>
      <c r="S92" s="2"/>
      <c r="T92" s="2"/>
    </row>
    <row r="94" spans="1:24">
      <c r="K94" s="3"/>
      <c r="L94" s="4" t="s">
        <v>116</v>
      </c>
      <c r="M94" s="4" t="s">
        <v>117</v>
      </c>
      <c r="N94" s="4" t="s">
        <v>2</v>
      </c>
    </row>
    <row r="95" spans="1:24" ht="33">
      <c r="K95" s="5" t="s">
        <v>118</v>
      </c>
      <c r="L95" s="6">
        <f>SUM(G37:G44,G46:G53,G54:G55,G57,G58:G59,G60,G64,G70:G73)</f>
        <v>24124.715349369988</v>
      </c>
      <c r="M95" s="6">
        <f>SUM(M37:M91)</f>
        <v>17936.59756097561</v>
      </c>
      <c r="N95" s="6">
        <f>L95-M95</f>
        <v>6188.1177883943783</v>
      </c>
    </row>
    <row r="96" spans="1:24">
      <c r="K96" s="7" t="s">
        <v>119</v>
      </c>
      <c r="L96" s="6" t="e">
        <f>SUM(#REF!,#REF!,#REF!,#REF!,#REF!,G70:G70,G74:G75,G77:G87)</f>
        <v>#REF!</v>
      </c>
      <c r="M96" s="6">
        <f>50000-M95-1000</f>
        <v>31063.40243902439</v>
      </c>
      <c r="N96" s="3"/>
    </row>
  </sheetData>
  <mergeCells count="47">
    <mergeCell ref="A2:O2"/>
    <mergeCell ref="O74:O76"/>
    <mergeCell ref="C74:C76"/>
    <mergeCell ref="D74:D76"/>
    <mergeCell ref="E74:E76"/>
    <mergeCell ref="F74:F76"/>
    <mergeCell ref="G74:G76"/>
    <mergeCell ref="A63:A64"/>
    <mergeCell ref="H74:H76"/>
    <mergeCell ref="I74:I76"/>
    <mergeCell ref="O46:O56"/>
    <mergeCell ref="C61:C62"/>
    <mergeCell ref="D61:D62"/>
    <mergeCell ref="A6:A36"/>
    <mergeCell ref="O57:O62"/>
    <mergeCell ref="O37:O45"/>
    <mergeCell ref="B78:B80"/>
    <mergeCell ref="A86:A87"/>
    <mergeCell ref="B86:B87"/>
    <mergeCell ref="C83:C84"/>
    <mergeCell ref="D83:D84"/>
    <mergeCell ref="E83:E84"/>
    <mergeCell ref="A77:A85"/>
    <mergeCell ref="A70:A76"/>
    <mergeCell ref="O83:O84"/>
    <mergeCell ref="G3:I3"/>
    <mergeCell ref="B46:B56"/>
    <mergeCell ref="O3:O4"/>
    <mergeCell ref="B5:B17"/>
    <mergeCell ref="O5:O36"/>
    <mergeCell ref="B18:B23"/>
    <mergeCell ref="B24:B36"/>
    <mergeCell ref="A3:F3"/>
    <mergeCell ref="J3:L3"/>
    <mergeCell ref="A37:A62"/>
    <mergeCell ref="B37:B45"/>
    <mergeCell ref="B57:B62"/>
    <mergeCell ref="G61:G62"/>
    <mergeCell ref="N3:N4"/>
    <mergeCell ref="H61:H62"/>
    <mergeCell ref="I61:I62"/>
    <mergeCell ref="B70:B73"/>
    <mergeCell ref="B74:B76"/>
    <mergeCell ref="A65:A69"/>
    <mergeCell ref="B65:B69"/>
    <mergeCell ref="E61:E62"/>
    <mergeCell ref="F61:F6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alexey.volkov</dc:creator>
  <cp:lastModifiedBy>Nodira</cp:lastModifiedBy>
  <dcterms:created xsi:type="dcterms:W3CDTF">2014-04-02T10:24:37Z</dcterms:created>
  <dcterms:modified xsi:type="dcterms:W3CDTF">2014-06-24T11:05:26Z</dcterms:modified>
</cp:coreProperties>
</file>